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externalLinks/externalLink1.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19425" windowHeight="9390" activeTab="1"/>
  </bookViews>
  <sheets>
    <sheet name="储能-设备工程参数" sheetId="24" r:id="rId1"/>
    <sheet name="储能-投资参数" sheetId="25" r:id="rId2"/>
    <sheet name="储能-计算界面-年" sheetId="26" r:id="rId3"/>
    <sheet name="电价政策" sheetId="3" state="hidden" r:id="rId4"/>
    <sheet name="分布式省市补贴电价" sheetId="10" state="hidden" r:id="rId5"/>
    <sheet name="光照资源" sheetId="4" state="hidden" r:id="rId6"/>
    <sheet name="租赁" sheetId="7" r:id="rId7"/>
    <sheet name="银行贷款" sheetId="20" r:id="rId8"/>
    <sheet name="全国电价统计表格" sheetId="12" state="hidden" r:id="rId9"/>
    <sheet name="储能-敏感性分析" sheetId="27" r:id="rId10"/>
  </sheets>
  <externalReferences>
    <externalReference r:id="rId11"/>
  </externalReferences>
  <calcPr calcId="144525" concurrentCalc="0"/>
</workbook>
</file>

<file path=xl/sharedStrings.xml><?xml version="1.0" encoding="utf-8"?>
<sst xmlns="http://schemas.openxmlformats.org/spreadsheetml/2006/main" count="2486" uniqueCount="1189">
  <si>
    <t>输入</t>
  </si>
  <si>
    <t>增值税率</t>
  </si>
  <si>
    <t>一</t>
  </si>
  <si>
    <t>电池（包含BMS）</t>
  </si>
  <si>
    <t>技术参数</t>
  </si>
  <si>
    <t>采购价格（含税）</t>
  </si>
  <si>
    <t>固定资产</t>
  </si>
  <si>
    <t>设备进项税</t>
  </si>
  <si>
    <t>备注</t>
  </si>
  <si>
    <t>单价（元/wh）</t>
  </si>
  <si>
    <t>总价（万元）</t>
  </si>
  <si>
    <t>电池需量规模（kWh）</t>
  </si>
  <si>
    <t xml:space="preserve">放电深度 </t>
  </si>
  <si>
    <t>放电时间（小时)</t>
  </si>
  <si>
    <t>负载功率（kW）</t>
  </si>
  <si>
    <t>电池效率</t>
  </si>
  <si>
    <t>电池配置容量（kWh）</t>
  </si>
  <si>
    <t>电池残值</t>
  </si>
  <si>
    <t>循环次数</t>
  </si>
  <si>
    <t>年衰减率</t>
  </si>
  <si>
    <t>电池成本 (RMB/kWh)</t>
  </si>
  <si>
    <t>二</t>
  </si>
  <si>
    <t>PCS</t>
  </si>
  <si>
    <t>PCS双向变流器功率(kW）</t>
  </si>
  <si>
    <t>PCS双向变流器超负荷率</t>
  </si>
  <si>
    <t>PCS双向变流器寿命（年）</t>
  </si>
  <si>
    <t>AC/DC充电器效率</t>
  </si>
  <si>
    <t>DC/AC逆变器效率</t>
  </si>
  <si>
    <t>PCS双向变流器成本（RMB/kW）</t>
  </si>
  <si>
    <t>三</t>
  </si>
  <si>
    <t>其他设备</t>
  </si>
  <si>
    <t>能源监控+配电+热管理系统（套）</t>
  </si>
  <si>
    <t>箱变（个）</t>
  </si>
  <si>
    <t>设备成本合计（万元）</t>
  </si>
  <si>
    <t>四</t>
  </si>
  <si>
    <t>施工</t>
  </si>
  <si>
    <t>运输及安装（RMB/kWh）</t>
  </si>
  <si>
    <t>改造（RMB）</t>
  </si>
  <si>
    <t>五</t>
  </si>
  <si>
    <t>其他费用</t>
  </si>
  <si>
    <t>设计、勘察（RMB/kWh）</t>
  </si>
  <si>
    <t>开发费用（RMB/Wh）</t>
  </si>
  <si>
    <t>施工及其他合计（万元）</t>
  </si>
  <si>
    <t>总投资合计（万元）</t>
  </si>
  <si>
    <t>EPC成本（元/Wh）</t>
  </si>
  <si>
    <t>电池成本占比</t>
  </si>
  <si>
    <t>设备成本占比</t>
  </si>
  <si>
    <t>每天循环次数</t>
  </si>
  <si>
    <t>设备残值</t>
  </si>
  <si>
    <t>年运行天数（天）</t>
  </si>
  <si>
    <t>电池残值（万元）</t>
  </si>
  <si>
    <t>PCS、线缆残值（万元）</t>
  </si>
  <si>
    <t>电池折旧（万元）</t>
  </si>
  <si>
    <t>PCS、线缆折旧（万元）</t>
  </si>
  <si>
    <t>电池折旧（年）</t>
  </si>
  <si>
    <t>PCS、线缆折旧（年）</t>
  </si>
  <si>
    <t>电池年折旧（万元）</t>
  </si>
  <si>
    <t>PCS、线缆年折旧（万元）</t>
  </si>
  <si>
    <t>电池寿命年限（年）</t>
  </si>
  <si>
    <t>PCS、线缆使用年限（年）</t>
  </si>
  <si>
    <t>更多资料关注公众号 储能</t>
  </si>
  <si>
    <t>项目名称</t>
  </si>
  <si>
    <t>工业调峰储能电站项目</t>
  </si>
  <si>
    <t>项目单位</t>
  </si>
  <si>
    <t>有限公司</t>
  </si>
  <si>
    <t>输入参数</t>
  </si>
  <si>
    <t>值</t>
  </si>
  <si>
    <t>输出情况</t>
  </si>
  <si>
    <t>项目基本信息</t>
  </si>
  <si>
    <t>电站净现值NPV</t>
  </si>
  <si>
    <t>投资总额(万元)</t>
  </si>
  <si>
    <t>于[设备工程参数］表内输入修改</t>
  </si>
  <si>
    <t>IRR</t>
  </si>
  <si>
    <t>静态回收期</t>
  </si>
  <si>
    <t>动态回收期</t>
  </si>
  <si>
    <t>LCOE</t>
  </si>
  <si>
    <t>电池功率（kW）</t>
  </si>
  <si>
    <t>系统效率%</t>
  </si>
  <si>
    <t>敏感性分析</t>
  </si>
  <si>
    <t>衰减率</t>
  </si>
  <si>
    <t>投资单价
（元/Wh）</t>
  </si>
  <si>
    <t>年利用天数</t>
  </si>
  <si>
    <t>电池组循环次数</t>
  </si>
  <si>
    <t>租金单价</t>
  </si>
  <si>
    <t>PCS寿命（年）</t>
  </si>
  <si>
    <t>运维费（万元/年）</t>
  </si>
  <si>
    <t>开发费</t>
  </si>
  <si>
    <t>项目地点</t>
  </si>
  <si>
    <t>湖北</t>
  </si>
  <si>
    <t>电费折扣</t>
  </si>
  <si>
    <t>融资变量及参数(具体见租赁／银行贷款表格)</t>
  </si>
  <si>
    <t>峰电电价（平均电价差）</t>
  </si>
  <si>
    <t>融资类型</t>
  </si>
  <si>
    <t>0为全投资，1为租赁，2为银行贷款</t>
  </si>
  <si>
    <t>综合利率（融资综合利率）</t>
  </si>
  <si>
    <t>项目贷款利率</t>
  </si>
  <si>
    <t>利率</t>
  </si>
  <si>
    <t>融资比例</t>
  </si>
  <si>
    <t>银行贷款为总投资的比例，融资租赁为设备的比例</t>
  </si>
  <si>
    <t>贷款／融资年限（年）</t>
  </si>
  <si>
    <t>宽限期</t>
  </si>
  <si>
    <t xml:space="preserve"> 
</t>
  </si>
  <si>
    <t>融资（租赁／贷款）额度</t>
  </si>
  <si>
    <t>税后综合利率</t>
  </si>
  <si>
    <t>保证金</t>
  </si>
  <si>
    <t>主要针对租赁</t>
  </si>
  <si>
    <t>税前综合利率</t>
  </si>
  <si>
    <t>手续费</t>
  </si>
  <si>
    <t>融资额占总投资比例</t>
  </si>
  <si>
    <t>手续费年限</t>
  </si>
  <si>
    <t>宽限期满后一次性付本比例</t>
  </si>
  <si>
    <t>还款方式</t>
  </si>
  <si>
    <t>主要针对银行贷款，选择0等额本息，1为等额本金</t>
  </si>
  <si>
    <t>电价变量及收入参数</t>
  </si>
  <si>
    <t>用电折扣</t>
  </si>
  <si>
    <t>峰电价</t>
  </si>
  <si>
    <t>针对不同地区项目注意确认此值</t>
  </si>
  <si>
    <t>尖峰电价</t>
  </si>
  <si>
    <t>-----</t>
  </si>
  <si>
    <t>平电价</t>
  </si>
  <si>
    <t>谷电价</t>
  </si>
  <si>
    <t>平均电价差</t>
  </si>
  <si>
    <t>峰电使用小时数</t>
  </si>
  <si>
    <t>尖峰使用小时数</t>
  </si>
  <si>
    <t>企业年用电天数</t>
  </si>
  <si>
    <t>企业生产时间（h）</t>
  </si>
  <si>
    <t>年电价差收入（万元）</t>
  </si>
  <si>
    <t>容量费单价（元/kW/月）</t>
  </si>
  <si>
    <t>无基本电费</t>
  </si>
  <si>
    <t>需量费单价（元/kW/月）</t>
  </si>
  <si>
    <t>容量（kW）</t>
  </si>
  <si>
    <t>容量改为需量</t>
  </si>
  <si>
    <t>需量（kW）</t>
  </si>
  <si>
    <t>基础电费节省分成</t>
  </si>
  <si>
    <t>节省的基础电费和业主8：2分成</t>
  </si>
  <si>
    <t>需量/容量费（万元/月）</t>
  </si>
  <si>
    <t>削减需量/容量收入（万元/年）</t>
  </si>
  <si>
    <t>永久性转移高峰电力负荷的奖励（元/Kw)</t>
  </si>
  <si>
    <t>储能每天参与削峰填谷，能够实现永久性转移高峰电力负荷；奖励标准分为三挡：分别是350元/千瓦、450元/千瓦、550元/千瓦</t>
  </si>
  <si>
    <t>主动需求侧响应临时性减少高峰电力负荷的奖励（元/Kw）</t>
  </si>
  <si>
    <t>需具备临时响应计划，否则不计算；按照响应时间按（24小时、4小时、30分钟）签订合同，奖励标准分为三挡，分别为：80元/千瓦、100元/千瓦、120元/千瓦</t>
  </si>
  <si>
    <t>年需求侧管理收入（万元/年）</t>
  </si>
  <si>
    <t>初始投资比例</t>
  </si>
  <si>
    <t>IF(C11&gt;150;30%;0)    项目容量需超过150kW；补贴比例30%</t>
  </si>
  <si>
    <t>初始投资补贴（万元）</t>
  </si>
  <si>
    <t>IF(C7&lt;2000;C47*C7;2000)  最高补贴2000万</t>
  </si>
  <si>
    <t>费用变量及参数</t>
  </si>
  <si>
    <t>费用方式</t>
  </si>
  <si>
    <t>外包为1，自营为0</t>
  </si>
  <si>
    <t>年运营费用（如为外包）</t>
  </si>
  <si>
    <t>根据总投资规模计算</t>
  </si>
  <si>
    <t>运营人数</t>
  </si>
  <si>
    <t>运营人员工资（万元/年）</t>
  </si>
  <si>
    <t>设备维护成本</t>
  </si>
  <si>
    <t>年运维费用（万元/年）</t>
  </si>
  <si>
    <t>电池更换成本（元/kWh）</t>
  </si>
  <si>
    <t>电池折旧年限</t>
  </si>
  <si>
    <t>电池更换次数</t>
  </si>
  <si>
    <t>针对不同项目注意确认此值</t>
  </si>
  <si>
    <t>电池更换费用（万元）</t>
  </si>
  <si>
    <t>根据电池配置容量计算</t>
  </si>
  <si>
    <t>保险费率</t>
  </si>
  <si>
    <t>保险总费率，后框1表示有保险，0表示无</t>
  </si>
  <si>
    <t>保险费用（万元/年）</t>
  </si>
  <si>
    <t>所需面积（平方米）</t>
  </si>
  <si>
    <t>租金单价（元/平方米）</t>
  </si>
  <si>
    <t>设备置放租金（万元/年）</t>
  </si>
  <si>
    <t>厂用电（万元/年）</t>
  </si>
  <si>
    <t>税费参数</t>
  </si>
  <si>
    <t>服务增值率</t>
  </si>
  <si>
    <t>设备占总投资比例</t>
  </si>
  <si>
    <t>经验值</t>
  </si>
  <si>
    <t>增值税收政策</t>
  </si>
  <si>
    <t>所得税率</t>
  </si>
  <si>
    <t>所得税收政策</t>
  </si>
  <si>
    <t>通货膨胀率</t>
  </si>
  <si>
    <t>CPI</t>
  </si>
  <si>
    <t>营业税金及附加</t>
  </si>
  <si>
    <t>城市建设维护费 7% 必须缴纳
教育费附加 3% 必须缴纳
地方教育费 1%、2% 地区不同规定不同，好多地区可以不用缴纳此税种。</t>
  </si>
  <si>
    <t>流动资金</t>
  </si>
  <si>
    <t>首年预留流动资金占总投资比例</t>
  </si>
  <si>
    <t>NPV基准收益率</t>
  </si>
  <si>
    <t>年效率递减率</t>
  </si>
  <si>
    <t>技术参数情况需确定</t>
  </si>
  <si>
    <t>序</t>
  </si>
  <si>
    <t>项目</t>
  </si>
  <si>
    <t>合计</t>
  </si>
  <si>
    <t>建设期</t>
  </si>
  <si>
    <t>经营期</t>
  </si>
  <si>
    <t>年利用电量（万kWh）</t>
  </si>
  <si>
    <t>注意电池更换情况</t>
  </si>
  <si>
    <t>峰电量</t>
  </si>
  <si>
    <t>尖峰电量</t>
  </si>
  <si>
    <t>平电量</t>
  </si>
  <si>
    <t>谷电量</t>
  </si>
  <si>
    <t>现金流入</t>
  </si>
  <si>
    <t>电费收入(税前)</t>
  </si>
  <si>
    <t>峰电收入</t>
  </si>
  <si>
    <t>尖峰电收入</t>
  </si>
  <si>
    <t>削减容量</t>
  </si>
  <si>
    <t>需求侧响应</t>
  </si>
  <si>
    <t>补贴</t>
  </si>
  <si>
    <t>资产残值（电池回收）</t>
  </si>
  <si>
    <t>现金流出</t>
  </si>
  <si>
    <t>谷电支出</t>
  </si>
  <si>
    <t>平电支出</t>
  </si>
  <si>
    <t>场地租赁费用</t>
  </si>
  <si>
    <t>偿还本金</t>
  </si>
  <si>
    <t>偿还利息</t>
  </si>
  <si>
    <t>偿还手续费</t>
  </si>
  <si>
    <t>缴纳增值税</t>
  </si>
  <si>
    <t>7</t>
  </si>
  <si>
    <t>8</t>
  </si>
  <si>
    <t>所得税</t>
  </si>
  <si>
    <t>9</t>
  </si>
  <si>
    <t>运维费用</t>
  </si>
  <si>
    <t>10</t>
  </si>
  <si>
    <t>电池和pcs更换费用</t>
  </si>
  <si>
    <t>11</t>
  </si>
  <si>
    <t>保险费用</t>
  </si>
  <si>
    <t>12</t>
  </si>
  <si>
    <t>厂用电</t>
  </si>
  <si>
    <t>13</t>
  </si>
  <si>
    <t>14</t>
  </si>
  <si>
    <t>折旧</t>
  </si>
  <si>
    <t>所得税前利润</t>
  </si>
  <si>
    <t>税后净现金流</t>
  </si>
  <si>
    <t>税后累计现金流</t>
  </si>
  <si>
    <t>税后净现金流现值</t>
  </si>
  <si>
    <t>税后累计现金流现值</t>
  </si>
  <si>
    <t>电站现值</t>
  </si>
  <si>
    <t>增值税</t>
  </si>
  <si>
    <t>进项税</t>
  </si>
  <si>
    <t>注意更换设备情况</t>
  </si>
  <si>
    <t>总进项税</t>
  </si>
  <si>
    <t>销项税</t>
  </si>
  <si>
    <t>增值税抵扣</t>
  </si>
  <si>
    <t>抵扣后余额</t>
  </si>
  <si>
    <t>实际缴纳增值税</t>
  </si>
  <si>
    <t>初始投资</t>
  </si>
  <si>
    <t>增值税抵扣现值</t>
  </si>
  <si>
    <t>运维费用现值</t>
  </si>
  <si>
    <t>残值及流动资金现值</t>
  </si>
  <si>
    <t>电量现值</t>
  </si>
  <si>
    <t>地方补贴电价</t>
  </si>
  <si>
    <t>电价分区政策</t>
  </si>
  <si>
    <t>一类地区</t>
  </si>
  <si>
    <t>宁夏，青海海西，甘肃嘉峪关、武威、张掖、酒泉、敦煌、金昌，新疆哈密、塔城、阿勒泰、克拉玛依，内蒙古除赤峰、通辽、兴安盟、呼伦贝尔以外地区</t>
  </si>
  <si>
    <t>二类地区</t>
  </si>
  <si>
    <t>三类地区</t>
  </si>
  <si>
    <t>脱硫标杆电价</t>
  </si>
  <si>
    <t>地区</t>
  </si>
  <si>
    <t>标杆电价</t>
  </si>
  <si>
    <t>北京</t>
  </si>
  <si>
    <t>天津</t>
  </si>
  <si>
    <t>上海</t>
  </si>
  <si>
    <t>重庆</t>
  </si>
  <si>
    <t>河北</t>
  </si>
  <si>
    <t>冀北0.3971</t>
  </si>
  <si>
    <t>冀南0.3914</t>
  </si>
  <si>
    <t>山西</t>
  </si>
  <si>
    <t>内蒙古</t>
  </si>
  <si>
    <t>蒙西0.2937</t>
  </si>
  <si>
    <t>蒙东0.3068</t>
  </si>
  <si>
    <t>陕西</t>
  </si>
  <si>
    <t>黑龙江</t>
  </si>
  <si>
    <t>辽宁</t>
  </si>
  <si>
    <t>吉林</t>
  </si>
  <si>
    <t>湖南</t>
  </si>
  <si>
    <t>江西</t>
  </si>
  <si>
    <t>河南</t>
  </si>
  <si>
    <t>安徽</t>
  </si>
  <si>
    <t>江苏</t>
  </si>
  <si>
    <t>浙江</t>
  </si>
  <si>
    <t>山东</t>
  </si>
  <si>
    <t>福建</t>
  </si>
  <si>
    <t>青海</t>
  </si>
  <si>
    <t>宁夏</t>
  </si>
  <si>
    <t>新疆</t>
  </si>
  <si>
    <t>甘肃</t>
  </si>
  <si>
    <t>四川</t>
  </si>
  <si>
    <t>贵州</t>
  </si>
  <si>
    <t>云南</t>
  </si>
  <si>
    <t>广东</t>
  </si>
  <si>
    <t>广西</t>
  </si>
  <si>
    <t>内陆0.4444</t>
  </si>
  <si>
    <t>沿海0.4364</t>
  </si>
  <si>
    <t>海南</t>
  </si>
  <si>
    <t>全国各省市分布式光伏电价补贴一览</t>
  </si>
  <si>
    <t>做成标准格式：1、度电补贴：（补贴金额*补贴年限）；2、初投资补贴：*元/W</t>
  </si>
  <si>
    <t xml:space="preserve">国家政策 </t>
  </si>
  <si>
    <t>国家发改委明确了全国范围内分布式光伏补贴标准为0.42元/千瓦时,补贴20年。</t>
  </si>
  <si>
    <t>省份</t>
  </si>
  <si>
    <t>分类</t>
  </si>
  <si>
    <t>初装补贴（/瓦）</t>
  </si>
  <si>
    <t>国家补贴（/千瓦时）</t>
  </si>
  <si>
    <t>省补贴（/千瓦时）</t>
  </si>
  <si>
    <t>市补贴（/千瓦时）</t>
  </si>
  <si>
    <t>合计（/千瓦时）</t>
  </si>
  <si>
    <t>地方补贴年限</t>
  </si>
  <si>
    <t>浙江省</t>
  </si>
  <si>
    <t>浙江温州</t>
  </si>
  <si>
    <t>商业电站2014年底前建成并网发电</t>
  </si>
  <si>
    <t>0.42元</t>
  </si>
  <si>
    <t>0.1元</t>
  </si>
  <si>
    <t>0.15元</t>
  </si>
  <si>
    <t>0.62~0.72元</t>
  </si>
  <si>
    <t>已享受国家“金太阳”、“光电建筑一体化”项目投资补助的光伏发电项目，不再补贴。</t>
  </si>
  <si>
    <t>连续补贴五年</t>
  </si>
  <si>
    <t>商业电站2015年底建成并网发电</t>
  </si>
  <si>
    <t>0.82元</t>
  </si>
  <si>
    <t>家庭电站</t>
  </si>
  <si>
    <t>0.3元</t>
  </si>
  <si>
    <t>温州市洞头县</t>
  </si>
  <si>
    <t>工商业电站</t>
  </si>
  <si>
    <t>0.4元</t>
  </si>
  <si>
    <t>0.83元</t>
  </si>
  <si>
    <t>其中列入离岛“光电旅一体化”示范的项目，另外给予每度0.1元奖励。</t>
  </si>
  <si>
    <t>2元/W</t>
  </si>
  <si>
    <t>0.2元</t>
  </si>
  <si>
    <t>0.72元</t>
  </si>
  <si>
    <t>对于民建建筑物屋顶出租用于安装分布式光伏发电系统的，按发电量给予屋顶所有人每度0.05元的补贴，自发电之日起一补五年，企业(居民)自建模式不补。租用政府(国有企业)所属的建筑屋顶安装分布式光伏发电系统的，政府(国有企业)原则上应无偿提供屋顶租赁，租期一般为10—20年。</t>
  </si>
  <si>
    <t>温州市瑞安市</t>
  </si>
  <si>
    <t>除按政策享受国家、省、温州市有关补贴外，所发全部电量(包括自发自用和上网电量)，给予每度电0.3元补贴，对安装分布式光伏发电的厂房屋顶租赁补贴，按其发电量给予每度0.05元的补贴，自发电之日起一补五年，企业(居民)自建模式不补;政府、国有企业等公建项目安装分布式光伏发电系统的，原则上无偿提供屋顶租赁，租期在25年以上。</t>
  </si>
  <si>
    <t>温州市乐清市</t>
  </si>
  <si>
    <t>分布式光伏发电项目</t>
  </si>
  <si>
    <t>凡通过屋顶租赁安装分布式光伏发电设施的，按其发电量给予屋顶所有者每度电0.05元(含税)的补贴，自发电之日起连续补贴五年，企业(居民)自建模式项目不享受该项补贴。</t>
  </si>
  <si>
    <t>温州市永嘉县</t>
  </si>
  <si>
    <t>50KW以上商业电站</t>
  </si>
  <si>
    <t>0.92元</t>
  </si>
  <si>
    <t>浙江桐乡</t>
  </si>
  <si>
    <t>建成前两年</t>
  </si>
  <si>
    <t>1.5元/W</t>
  </si>
  <si>
    <t xml:space="preserve"> 0.1元</t>
  </si>
  <si>
    <t>已获得国家政策扶持的项目不补；对屋顶出租方按实际使用面积给予一次性30元/平方米的补助;采购本市光伏企业生产的产品，按采购价格的15%给予奖励，鼓励民营担保公司为光伏发电示范项目提供融资担保，对出现损失的，给予10%（最高限额100万）的风险补偿。</t>
  </si>
  <si>
    <t>第三年至第五年</t>
  </si>
  <si>
    <t>浙江嘉兴</t>
  </si>
  <si>
    <t>200MW分布式光伏发电项目</t>
  </si>
  <si>
    <t>0.62元</t>
  </si>
  <si>
    <t>连续补贴3年</t>
  </si>
  <si>
    <t>光伏高新技术产业园区</t>
  </si>
  <si>
    <t>在嘉兴光伏高新技术产业园区内新建成投产的屋顶光伏发电项目，在项目建成后的前3年，省再补贴0.30元/千瓦时。</t>
  </si>
  <si>
    <t>嘉兴市桐州</t>
  </si>
  <si>
    <t>对0.1兆瓦以上示范项目给予1.5元/瓦的一次性投资补贴；对屋顶出租方按实际使用面积给予一次性30元/平方米的补助；采购本市光伏企业生产的产品，按采购价的15%给予奖励。</t>
  </si>
  <si>
    <t>连续补贴5年</t>
  </si>
  <si>
    <t>嘉兴市平湖市</t>
  </si>
  <si>
    <t>企业建成前两年</t>
  </si>
  <si>
    <t>0.67元</t>
  </si>
  <si>
    <t>企业第三年至第五年</t>
  </si>
  <si>
    <t>家庭建成前两年</t>
  </si>
  <si>
    <t>家庭第三年至第五年</t>
  </si>
  <si>
    <t>嘉兴市秀洲区</t>
  </si>
  <si>
    <t>分布式光伏发电应用示范区</t>
  </si>
  <si>
    <t>1元/W</t>
  </si>
  <si>
    <t>鼓励优先采购本区光伏产品，对本区产品占设备投入30%及以上的项目给予100%补助，低于30%的给予80%的补助</t>
  </si>
  <si>
    <t>浙江绍兴</t>
  </si>
  <si>
    <t>2015年底前建成并网发电的分布式光伏发电项目</t>
  </si>
  <si>
    <t>项目投资补助。给予项目投资额5%的补助,补助金额不超过150万元</t>
  </si>
  <si>
    <t>浙江杭州</t>
  </si>
  <si>
    <t>根据项目建成后的实际发电效果</t>
  </si>
  <si>
    <t>2014-2015年</t>
  </si>
  <si>
    <t>杭州萧山</t>
  </si>
  <si>
    <t>按照实际发电量</t>
  </si>
  <si>
    <t>0.2元/W</t>
  </si>
  <si>
    <t>已列入区级以上太阳能应用（示范）计划的项目，按照上级要求配套资助。屋顶业主使用部分光伏发电量，按用电价格给予15%的优惠</t>
  </si>
  <si>
    <t>杭州市富阳市</t>
  </si>
  <si>
    <t>对居民住宅的光伏发电项目按装机容量给予1元/峰瓦的一次性补助，不再享受发电补贴。</t>
  </si>
  <si>
    <t>杭州市建德市</t>
  </si>
  <si>
    <t>企业自用</t>
  </si>
  <si>
    <t>连续补贴三年</t>
  </si>
  <si>
    <t>并网部分电量</t>
  </si>
  <si>
    <t>浙江宁波</t>
  </si>
  <si>
    <t>2015年底前，对列入国家、省计划并经省、市备案的光伏发电项目，发电补贴额在国家、省确定发电量补贴标准基础上，自项目并网发电之日起</t>
  </si>
  <si>
    <t>浙江衢州</t>
  </si>
  <si>
    <t>衢州龙游县</t>
  </si>
  <si>
    <t>县域内建设的光伏发电项目装机容量达到1兆瓦以上的工程项目</t>
  </si>
  <si>
    <t>0.3元/W</t>
  </si>
  <si>
    <t>衢州市江山市</t>
  </si>
  <si>
    <t>光伏电站项目</t>
  </si>
  <si>
    <t>鼓励年综合能耗1000吨标煤以上的企业建设屋顶光伏发电项目，对自身屋顶面积不够，租用周边企业屋顶建设的，按实际使用面积给予一次性10元/m2的补助。</t>
  </si>
  <si>
    <t>湖州市德清县</t>
  </si>
  <si>
    <t>商业电站</t>
  </si>
  <si>
    <t>对在工业厂房屋顶建设分布式光伏发电项目，第一年补贴实施光伏发电项目的屋顶企业，后两年补贴光伏发电投资企业。</t>
  </si>
  <si>
    <t>最高不超过1万元，不享受县级发电量奖励。</t>
  </si>
  <si>
    <t>浙江安吉</t>
  </si>
  <si>
    <t>光伏发电项目</t>
  </si>
  <si>
    <t>已享受国家项目投资补助的光伏发电项目不再补贴。对企业等单位安装光伏发电等新能源产品的，按15元/平方米标准给予补助。</t>
  </si>
  <si>
    <t>连续补贴2年</t>
  </si>
  <si>
    <t>浙江丽水</t>
  </si>
  <si>
    <t>自2014年起到2016底</t>
  </si>
  <si>
    <t>安徽省</t>
  </si>
  <si>
    <t>安徽合肥</t>
  </si>
  <si>
    <t>家庭投资建设光伏发电项目</t>
  </si>
  <si>
    <t xml:space="preserve">装机规模超过0.1兆瓦且建成并网的屋顶光伏电站项目、按装机容量一次性给予屋顶产权人10万元/兆瓦的奖励，单个项目奖励不超过60万元，同一屋顶产权人奖励不超过100万元。
</t>
  </si>
  <si>
    <t>城镇居民</t>
  </si>
  <si>
    <t>3元/W</t>
  </si>
  <si>
    <t>按装机容量单个电站补贴不超过1.5万元</t>
  </si>
  <si>
    <t>肥东县、肥西县、长丰县、庐江县、巢湖市区域内农户家庭式光伏电站</t>
  </si>
  <si>
    <t>4元/W</t>
  </si>
  <si>
    <t>按装机容量补贴单个电站最高补贴不超过2万元</t>
  </si>
  <si>
    <t>屋顶、光电建筑一体化光伏电站</t>
  </si>
  <si>
    <t>0.27元</t>
  </si>
  <si>
    <t>0.69元</t>
  </si>
  <si>
    <t>按装机容量单个项目补贴不超过100万元</t>
  </si>
  <si>
    <t>连续补贴15年</t>
  </si>
  <si>
    <t>亳州市</t>
  </si>
  <si>
    <t>0.25元</t>
  </si>
  <si>
    <t>连续补贴10年</t>
  </si>
  <si>
    <t>江西省</t>
  </si>
  <si>
    <t>“万家屋顶”
一期工程</t>
  </si>
  <si>
    <t>省级连续补贴20年</t>
  </si>
  <si>
    <t>“万家屋顶”
二期工程</t>
  </si>
  <si>
    <t>南昌市</t>
  </si>
  <si>
    <t>0.77元</t>
  </si>
  <si>
    <t>2015年底前建成投产</t>
  </si>
  <si>
    <t>2017年底前建成投产</t>
  </si>
  <si>
    <t>上饶市</t>
  </si>
  <si>
    <t>萍乡市</t>
  </si>
  <si>
    <t>一是将年度实际利用分布式光伏电量超过总用电量50%、生产过程中不产生碳排放的工业企业，认定为低碳企业，准许其享受低碳企业有关优惠政策;二是用电企业利用分布式光伏发电的电量不计入企业节能目标责任考核指标。</t>
  </si>
  <si>
    <t>山东省</t>
  </si>
  <si>
    <t>分布式电站：自发自用</t>
  </si>
  <si>
    <t>基础电价+0.47元</t>
  </si>
  <si>
    <t>0.89元</t>
  </si>
  <si>
    <t>已享受国家金太阳示范工程补助资金、太阳能光电建筑应用补助资金以及山东省新能源产业发展专项资金扶持项目不再享受电价补贴。</t>
  </si>
  <si>
    <t>2013-2015年</t>
  </si>
  <si>
    <t>全额上网</t>
  </si>
  <si>
    <t>1.2元</t>
  </si>
  <si>
    <t>菏泽市</t>
  </si>
  <si>
    <t>0.05元</t>
  </si>
  <si>
    <t>1.67元</t>
  </si>
  <si>
    <t>上海市</t>
  </si>
  <si>
    <t>个人</t>
  </si>
  <si>
    <t>企业</t>
  </si>
  <si>
    <t>新疆省</t>
  </si>
  <si>
    <t>2014年1月1日前投运</t>
  </si>
  <si>
    <t>1元</t>
  </si>
  <si>
    <t>1.42元</t>
  </si>
  <si>
    <t>Ⅰ类资源区：哈密地区、塔城地区、阿勒泰地区、克拉玛依市</t>
  </si>
  <si>
    <t>2014年1 月1日及以后投运</t>
  </si>
  <si>
    <t>Ⅰ类资源区</t>
  </si>
  <si>
    <t>0.9元</t>
  </si>
  <si>
    <t>1.32元</t>
  </si>
  <si>
    <t>Ⅱ资源区</t>
  </si>
  <si>
    <t>0.95元</t>
  </si>
  <si>
    <t>1.37元</t>
  </si>
  <si>
    <t>江苏省</t>
  </si>
  <si>
    <t xml:space="preserve">2014年 </t>
  </si>
  <si>
    <t>1.62元</t>
  </si>
  <si>
    <t>2012年至2015年，对再次期间投产的非国家财政补贴光伏项目，实现地面屋顶，建筑一体化</t>
  </si>
  <si>
    <t>2012~2015年</t>
  </si>
  <si>
    <t xml:space="preserve">2015年 </t>
  </si>
  <si>
    <t>1.15元</t>
  </si>
  <si>
    <t>1.57元</t>
  </si>
  <si>
    <t>苏州市</t>
  </si>
  <si>
    <t>无锡市</t>
  </si>
  <si>
    <t>分布式电站</t>
  </si>
  <si>
    <t>一次性补贴20万元/兆瓦，采用合同能源管理模式实施的项目，对实施合同能源管理用能项目的单位和项目投资机构，分别一次性给予每个项目不超过20万元和100万元的奖励和项目扶持。</t>
  </si>
  <si>
    <t>南通市</t>
  </si>
  <si>
    <t>对市区年内竣工并网的装机容量不小于1兆瓦的分布式光伏发电项目，采用南通地区企业生产的光伏组件等关键设备(本地配套率大于70%)的，按0.5元/瓦对项目实施主体给予一次性补助，单个企业年度补助总额不超过1000万元;本地配套率100%的企业，补助总额不作限制。</t>
  </si>
  <si>
    <t>扬中市</t>
  </si>
  <si>
    <t>居民屋面项目</t>
  </si>
  <si>
    <t>1.72元</t>
  </si>
  <si>
    <t>享受国家、省专项补贴的项目不得重复补贴)。</t>
  </si>
  <si>
    <t>光伏电站</t>
  </si>
  <si>
    <t>1.87元</t>
  </si>
  <si>
    <t>对已建成的光伏屋顶发电项目，按新建项目标准的50%补贴</t>
  </si>
  <si>
    <t>连续补贴6年</t>
  </si>
  <si>
    <t>镇江市</t>
  </si>
  <si>
    <t>句容市</t>
  </si>
  <si>
    <t>享受国家、省专项补贴的项目不得重复补贴</t>
  </si>
  <si>
    <t>积极鼓励企业厂房屋顶出租，对屋顶出租的企业按实际使用面积给予一次性20元/平方米的补助，补贴年限为2015年-2017年。</t>
  </si>
  <si>
    <t>河南省</t>
  </si>
  <si>
    <t>洛阳市</t>
  </si>
  <si>
    <t>0.1元/W</t>
  </si>
  <si>
    <t>2015年底前建成并网发电的分布式发电项目且优先使用本市企业生产的光伏组件</t>
  </si>
  <si>
    <t>连续奖励3年</t>
  </si>
  <si>
    <t>河北省</t>
  </si>
  <si>
    <t>装机容量1MW及以上，未享受中央财政资金补贴，且在省级电网并网销售的光伏电站</t>
  </si>
  <si>
    <t>2014年建成投产</t>
  </si>
  <si>
    <t>1.3元</t>
  </si>
  <si>
    <t xml:space="preserve">采用省内生产光伏组件建设的光伏电站项目，装机容量在1MW及以上，未享受中央财政资金补贴，且在省级电网并网销售的光伏电站
</t>
  </si>
  <si>
    <t>2015年建成投产</t>
  </si>
  <si>
    <t>陕西省</t>
  </si>
  <si>
    <t>商洛市</t>
  </si>
  <si>
    <t>地面光伏电站</t>
  </si>
  <si>
    <t>0.01元</t>
  </si>
  <si>
    <t>0.43元</t>
  </si>
  <si>
    <t>对在我市注册、缴纳税金且累计在市内安装光伏发电装机达到50兆瓦以上、管理维护光伏发电装机超过100兆瓦的公司，按其劳务报酬计征的个人所得税的5%给予一次性奖励；对在我市注册、缴纳税金的逆变器、光伏电缆、变压器及光伏玻璃等配套产品生产企业，按其缴纳地方本级次税金的5%予以返还</t>
  </si>
  <si>
    <t>分布式光伏电站</t>
  </si>
  <si>
    <t>0.47元</t>
  </si>
  <si>
    <t>西安市</t>
  </si>
  <si>
    <t>市级补贴1元/瓦，并网后一次性初装补贴。鼓励县区出台配套补贴政策</t>
  </si>
  <si>
    <t>广西省</t>
  </si>
  <si>
    <t>桂林市</t>
  </si>
  <si>
    <t>家庭户装</t>
  </si>
  <si>
    <t>公共设施</t>
  </si>
  <si>
    <t>3.4元/W</t>
  </si>
  <si>
    <t>对示范工程项目不限制建设规模，但对补助支持规模设置上限“家庭户装规模3千瓦，公共设施总规模600千瓦</t>
  </si>
  <si>
    <t>0.84元</t>
  </si>
  <si>
    <t>对自用有余上网的电量，由电网企业按照本地燃煤机组标杆上网电价(0.4552元/千瓦时)收购。</t>
  </si>
  <si>
    <t>山西省</t>
  </si>
  <si>
    <t>晋城市</t>
  </si>
  <si>
    <t>2013年—2015年建成的项目，按新建项目标准的50%补贴。国家、省单独立项予以专项补贴的项目，不再享受上述政策补助。</t>
  </si>
  <si>
    <t>2015—2020年</t>
  </si>
  <si>
    <t>广东省</t>
  </si>
  <si>
    <t>佛山市</t>
  </si>
  <si>
    <t>2万元/兆瓦</t>
  </si>
  <si>
    <t>0.57元</t>
  </si>
  <si>
    <t>已享受国家“金太阳”和“光电建筑一体化”、我市“民用建筑节能发展专项资金”项目投资补助的光伏发电项目，不再给予奖励。装机容量补贴单个项目奖励最多不超过20万元。</t>
  </si>
  <si>
    <t>家庭1000瓦及以上</t>
  </si>
  <si>
    <t>装机容量补贴单个项目奖励最多不超过1万元。</t>
  </si>
  <si>
    <t>东莞市</t>
  </si>
  <si>
    <t>建筑和构筑物业主</t>
  </si>
  <si>
    <t>25万元/兆瓦</t>
  </si>
  <si>
    <t>单个项目最高补助不超过200万元</t>
  </si>
  <si>
    <t>非自有住宅</t>
  </si>
  <si>
    <t>0.52元</t>
  </si>
  <si>
    <t>自有住宅</t>
  </si>
  <si>
    <t>广州市</t>
  </si>
  <si>
    <t>已享受国家金太阳或光电建筑一体化补助资金的项目，不得申报。最高补助金额为200万元</t>
  </si>
  <si>
    <t>湖南省</t>
  </si>
  <si>
    <t>长沙市</t>
  </si>
  <si>
    <t>湖北省</t>
  </si>
  <si>
    <t>宜昌市</t>
  </si>
  <si>
    <t>2015年年年底前和“十三五”期间建成的风电、分布式光伏发电、光伏电站和沼气发电项目。</t>
  </si>
  <si>
    <t>省级连续补贴5年；
市级连续补贴10年</t>
  </si>
  <si>
    <t>分布式光伏</t>
  </si>
  <si>
    <t>黄石市</t>
  </si>
  <si>
    <t>0.1~0.25元</t>
  </si>
  <si>
    <t>0.62元~0.77元</t>
  </si>
  <si>
    <t>荆门市</t>
  </si>
  <si>
    <t>北京市</t>
  </si>
  <si>
    <t>2015年1月1日-2019年12月31期间</t>
  </si>
  <si>
    <t>吉林省</t>
  </si>
  <si>
    <t>序
号</t>
  </si>
  <si>
    <t>编
号</t>
  </si>
  <si>
    <t>观测站
区站号</t>
  </si>
  <si>
    <t>地点</t>
  </si>
  <si>
    <t>年总辐射量
(MJ/㎡)</t>
  </si>
  <si>
    <t>辐照平均值</t>
  </si>
  <si>
    <t>倾角小时数</t>
  </si>
  <si>
    <t>系统效率</t>
  </si>
  <si>
    <t>最佳倾角辐照/水平辐照</t>
  </si>
  <si>
    <t>最佳倾角</t>
  </si>
  <si>
    <t>最佳倾角辐照
kWh/m²</t>
  </si>
  <si>
    <t>33°</t>
  </si>
  <si>
    <t>28°</t>
  </si>
  <si>
    <t>乐亭</t>
  </si>
  <si>
    <t>31°</t>
  </si>
  <si>
    <t>大同</t>
  </si>
  <si>
    <t>35°</t>
  </si>
  <si>
    <t>太原</t>
  </si>
  <si>
    <t>29°</t>
  </si>
  <si>
    <t>侯马</t>
  </si>
  <si>
    <t>呼伦贝尔盟(海拉尔)</t>
  </si>
  <si>
    <t>43°</t>
  </si>
  <si>
    <t>索伦</t>
  </si>
  <si>
    <t>额济纳旗</t>
  </si>
  <si>
    <t>36°</t>
  </si>
  <si>
    <t>二连浩特</t>
  </si>
  <si>
    <t>乌拉特中方旗海流图</t>
  </si>
  <si>
    <t>30°</t>
  </si>
  <si>
    <t>伊克昭盟东胜</t>
  </si>
  <si>
    <t>37°</t>
  </si>
  <si>
    <t>锡林郭勒盟(锡林浩特)</t>
  </si>
  <si>
    <t>通辽</t>
  </si>
  <si>
    <t>40°</t>
  </si>
  <si>
    <t>朝阳</t>
  </si>
  <si>
    <t>沈阳</t>
  </si>
  <si>
    <t>32°</t>
  </si>
  <si>
    <t>大连</t>
  </si>
  <si>
    <t>长春</t>
  </si>
  <si>
    <t>延吉</t>
  </si>
  <si>
    <t>漠河</t>
  </si>
  <si>
    <t>42°</t>
  </si>
  <si>
    <t>黑河</t>
  </si>
  <si>
    <t>41°</t>
  </si>
  <si>
    <t>富裕</t>
  </si>
  <si>
    <t>佳木斯</t>
  </si>
  <si>
    <t>哈尔滨</t>
  </si>
  <si>
    <t>23°</t>
  </si>
  <si>
    <t>清江</t>
  </si>
  <si>
    <t>26°</t>
  </si>
  <si>
    <t>南京</t>
  </si>
  <si>
    <t>19°</t>
  </si>
  <si>
    <t>吕泗</t>
  </si>
  <si>
    <t>杭州</t>
  </si>
  <si>
    <t>洪家</t>
  </si>
  <si>
    <t>18°</t>
  </si>
  <si>
    <t>合肥</t>
  </si>
  <si>
    <t>屯溪</t>
  </si>
  <si>
    <t>22°</t>
  </si>
  <si>
    <t>建瓯</t>
  </si>
  <si>
    <t>16°</t>
  </si>
  <si>
    <t>福州</t>
  </si>
  <si>
    <t>14°</t>
  </si>
  <si>
    <t>赣州</t>
  </si>
  <si>
    <t>南昌</t>
  </si>
  <si>
    <t>8°</t>
  </si>
  <si>
    <t>烟台</t>
  </si>
  <si>
    <t>济南</t>
  </si>
  <si>
    <t>莒县</t>
  </si>
  <si>
    <t>25°</t>
  </si>
  <si>
    <t>郑州</t>
  </si>
  <si>
    <t>南阳</t>
  </si>
  <si>
    <t>21°</t>
  </si>
  <si>
    <t>固始</t>
  </si>
  <si>
    <t>宜昌</t>
  </si>
  <si>
    <t>17°</t>
  </si>
  <si>
    <t>武汉</t>
  </si>
  <si>
    <t>24°</t>
  </si>
  <si>
    <t>吉首</t>
  </si>
  <si>
    <t>15°</t>
  </si>
  <si>
    <t>长沙</t>
  </si>
  <si>
    <t>12°</t>
  </si>
  <si>
    <t>常宁</t>
  </si>
  <si>
    <t>广州</t>
  </si>
  <si>
    <t>汕头</t>
  </si>
  <si>
    <t>桂林</t>
  </si>
  <si>
    <t>南宁</t>
  </si>
  <si>
    <t>北海</t>
  </si>
  <si>
    <t>海口</t>
  </si>
  <si>
    <t>三亚</t>
  </si>
  <si>
    <t>西沙</t>
  </si>
  <si>
    <t>甘孜</t>
  </si>
  <si>
    <t>红原</t>
  </si>
  <si>
    <t>绵阳</t>
  </si>
  <si>
    <t>成都</t>
  </si>
  <si>
    <t>峨眉山</t>
  </si>
  <si>
    <t>攀枝花</t>
  </si>
  <si>
    <t>泸州</t>
  </si>
  <si>
    <t>贵阳</t>
  </si>
  <si>
    <t>丽江</t>
  </si>
  <si>
    <t>腾冲</t>
  </si>
  <si>
    <t>昆明</t>
  </si>
  <si>
    <t>景洪</t>
  </si>
  <si>
    <t>蒙自</t>
  </si>
  <si>
    <t>西藏</t>
  </si>
  <si>
    <t>噶尔</t>
  </si>
  <si>
    <t>那曲</t>
  </si>
  <si>
    <t>拉萨</t>
  </si>
  <si>
    <t>昌都</t>
  </si>
  <si>
    <t>延安</t>
  </si>
  <si>
    <t>西安</t>
  </si>
  <si>
    <t>安泰</t>
  </si>
  <si>
    <t>敦煌</t>
  </si>
  <si>
    <t>酒泉</t>
  </si>
  <si>
    <t>民勤</t>
  </si>
  <si>
    <t>兰州</t>
  </si>
  <si>
    <t>刚察</t>
  </si>
  <si>
    <t>格尔木</t>
  </si>
  <si>
    <t>西宁</t>
  </si>
  <si>
    <t>玉树</t>
  </si>
  <si>
    <t>果洛</t>
  </si>
  <si>
    <t>银川</t>
  </si>
  <si>
    <t>固原</t>
  </si>
  <si>
    <t>阿尔泰</t>
  </si>
  <si>
    <t>塔城</t>
  </si>
  <si>
    <t>伊宁</t>
  </si>
  <si>
    <t>乌鲁木齐</t>
  </si>
  <si>
    <t>焉耆</t>
  </si>
  <si>
    <t>吐鲁番</t>
  </si>
  <si>
    <t>阿克苏</t>
  </si>
  <si>
    <t>喀什</t>
  </si>
  <si>
    <t>若羌</t>
  </si>
  <si>
    <t>和田</t>
  </si>
  <si>
    <t>哈密</t>
  </si>
  <si>
    <t>税前还款额</t>
  </si>
  <si>
    <t>税后还款额</t>
  </si>
  <si>
    <t>NPV</t>
  </si>
  <si>
    <t>直租</t>
  </si>
  <si>
    <t>回租</t>
  </si>
  <si>
    <t>利率项目</t>
  </si>
  <si>
    <t>年利率(%)</t>
  </si>
  <si>
    <t>设备款</t>
  </si>
  <si>
    <t>六个月以内（含6个月）贷款</t>
  </si>
  <si>
    <t>融资金额</t>
  </si>
  <si>
    <t>六个月至一年（含1年）贷款</t>
  </si>
  <si>
    <t>ABS</t>
  </si>
  <si>
    <t>融资期数（月）</t>
  </si>
  <si>
    <t>一至三年（含3年）贷款</t>
  </si>
  <si>
    <t>净现金流</t>
  </si>
  <si>
    <t>三至五年（含5年）贷款</t>
  </si>
  <si>
    <t>租赁利率</t>
  </si>
  <si>
    <t>五年以上贷款</t>
  </si>
  <si>
    <t>月IRR</t>
  </si>
  <si>
    <t>参数值</t>
  </si>
  <si>
    <t>年IRR</t>
  </si>
  <si>
    <t>当前利率</t>
  </si>
  <si>
    <t>贷款</t>
  </si>
  <si>
    <t>期数</t>
  </si>
  <si>
    <t>本金余值</t>
  </si>
  <si>
    <t>租金</t>
  </si>
  <si>
    <t>本金</t>
  </si>
  <si>
    <t>利息</t>
  </si>
  <si>
    <t>租金增值税17%</t>
  </si>
  <si>
    <t>手续费营业税17%</t>
  </si>
  <si>
    <t>按季</t>
  </si>
  <si>
    <t>按年</t>
  </si>
  <si>
    <t>结果</t>
  </si>
  <si>
    <t>税后现金流</t>
  </si>
  <si>
    <t>第0月</t>
  </si>
  <si>
    <t>现金流</t>
  </si>
  <si>
    <t>当期本金</t>
  </si>
  <si>
    <t>当期利息</t>
  </si>
  <si>
    <t>还款金额</t>
  </si>
  <si>
    <t>第1月</t>
  </si>
  <si>
    <t>第2月</t>
  </si>
  <si>
    <t>第3月</t>
  </si>
  <si>
    <t>第4月</t>
  </si>
  <si>
    <t>第5月</t>
  </si>
  <si>
    <t>第6月</t>
  </si>
  <si>
    <t>第7月</t>
  </si>
  <si>
    <t>第8月</t>
  </si>
  <si>
    <t>第9月</t>
  </si>
  <si>
    <t>第10月</t>
  </si>
  <si>
    <t>第11月</t>
  </si>
  <si>
    <t>第12月</t>
  </si>
  <si>
    <t>第13月</t>
  </si>
  <si>
    <t>第14月</t>
  </si>
  <si>
    <t>第15月</t>
  </si>
  <si>
    <t>第16月</t>
  </si>
  <si>
    <t>第17月</t>
  </si>
  <si>
    <t>第18月</t>
  </si>
  <si>
    <t>第19月</t>
  </si>
  <si>
    <t>第20月</t>
  </si>
  <si>
    <t>第21月</t>
  </si>
  <si>
    <t>第22月</t>
  </si>
  <si>
    <t>第23月</t>
  </si>
  <si>
    <t>第24月</t>
  </si>
  <si>
    <t>第25月</t>
  </si>
  <si>
    <t>第26月</t>
  </si>
  <si>
    <t>第27月</t>
  </si>
  <si>
    <t>第28月</t>
  </si>
  <si>
    <t>第29月</t>
  </si>
  <si>
    <t>第30月</t>
  </si>
  <si>
    <t>第31月</t>
  </si>
  <si>
    <t>第32月</t>
  </si>
  <si>
    <t>第33月</t>
  </si>
  <si>
    <t>第34月</t>
  </si>
  <si>
    <t>第35月</t>
  </si>
  <si>
    <t>第36月</t>
  </si>
  <si>
    <t>第37月</t>
  </si>
  <si>
    <t>第38月</t>
  </si>
  <si>
    <t>第39月</t>
  </si>
  <si>
    <t>第40月</t>
  </si>
  <si>
    <t>第41月</t>
  </si>
  <si>
    <t>第42月</t>
  </si>
  <si>
    <t>第43月</t>
  </si>
  <si>
    <t>第44月</t>
  </si>
  <si>
    <t>第45月</t>
  </si>
  <si>
    <t>第46月</t>
  </si>
  <si>
    <t>第47月</t>
  </si>
  <si>
    <t>第48月</t>
  </si>
  <si>
    <t>第49月</t>
  </si>
  <si>
    <t>第50月</t>
  </si>
  <si>
    <t>第51月</t>
  </si>
  <si>
    <t>第52月</t>
  </si>
  <si>
    <t>第53月</t>
  </si>
  <si>
    <t>第54月</t>
  </si>
  <si>
    <t>第55月</t>
  </si>
  <si>
    <t>第56月</t>
  </si>
  <si>
    <t>第57月</t>
  </si>
  <si>
    <t>第58月</t>
  </si>
  <si>
    <t>第59月</t>
  </si>
  <si>
    <t>第60月</t>
  </si>
  <si>
    <t>第61月</t>
  </si>
  <si>
    <t>第62月</t>
  </si>
  <si>
    <t>第63月</t>
  </si>
  <si>
    <t>第64月</t>
  </si>
  <si>
    <t>第65月</t>
  </si>
  <si>
    <t>第66月</t>
  </si>
  <si>
    <t>第67月</t>
  </si>
  <si>
    <t>第68月</t>
  </si>
  <si>
    <t>第69月</t>
  </si>
  <si>
    <t>第70月</t>
  </si>
  <si>
    <t>第71月</t>
  </si>
  <si>
    <t>第72月</t>
  </si>
  <si>
    <t>第73月</t>
  </si>
  <si>
    <t>第74月</t>
  </si>
  <si>
    <t>第75月</t>
  </si>
  <si>
    <t>第76月</t>
  </si>
  <si>
    <t>第77月</t>
  </si>
  <si>
    <t>第78月</t>
  </si>
  <si>
    <t>第79月</t>
  </si>
  <si>
    <t>第80月</t>
  </si>
  <si>
    <t>第81月</t>
  </si>
  <si>
    <t>第82月</t>
  </si>
  <si>
    <t>第83月</t>
  </si>
  <si>
    <t>第84月</t>
  </si>
  <si>
    <t>第85月</t>
  </si>
  <si>
    <t>第86月</t>
  </si>
  <si>
    <t>第87月</t>
  </si>
  <si>
    <t>第88月</t>
  </si>
  <si>
    <t>第89月</t>
  </si>
  <si>
    <t>第90月</t>
  </si>
  <si>
    <t>第91月</t>
  </si>
  <si>
    <t>第92月</t>
  </si>
  <si>
    <t>第93月</t>
  </si>
  <si>
    <t>第94月</t>
  </si>
  <si>
    <t>第95月</t>
  </si>
  <si>
    <t>第96月</t>
  </si>
  <si>
    <t>第97月</t>
  </si>
  <si>
    <t>第98月</t>
  </si>
  <si>
    <t>第99月</t>
  </si>
  <si>
    <t>第100月</t>
  </si>
  <si>
    <t>第101月</t>
  </si>
  <si>
    <t>第102月</t>
  </si>
  <si>
    <t>第103月</t>
  </si>
  <si>
    <t>第104月</t>
  </si>
  <si>
    <t>第105月</t>
  </si>
  <si>
    <t>第106月</t>
  </si>
  <si>
    <t>第107月</t>
  </si>
  <si>
    <t>第108月</t>
  </si>
  <si>
    <t>第109月</t>
  </si>
  <si>
    <t>第110月</t>
  </si>
  <si>
    <t>第111月</t>
  </si>
  <si>
    <t>第112月</t>
  </si>
  <si>
    <t>第113月</t>
  </si>
  <si>
    <t>第114月</t>
  </si>
  <si>
    <t>第115月</t>
  </si>
  <si>
    <t>第116月</t>
  </si>
  <si>
    <t>第117月</t>
  </si>
  <si>
    <t>第118月</t>
  </si>
  <si>
    <t>第119月</t>
  </si>
  <si>
    <t>第120月</t>
  </si>
  <si>
    <t>等额本息</t>
  </si>
  <si>
    <t>等额本金</t>
  </si>
  <si>
    <t>等额本息方式</t>
  </si>
  <si>
    <t>年</t>
  </si>
  <si>
    <t>年还款额</t>
  </si>
  <si>
    <t>剩余本金</t>
  </si>
  <si>
    <t>序号</t>
  </si>
  <si>
    <t>区域</t>
  </si>
  <si>
    <t>类别</t>
  </si>
  <si>
    <t>城市</t>
  </si>
  <si>
    <t>最佳安装倾角 (°)</t>
  </si>
  <si>
    <t>彩钢瓦平铺首年发电量(kWh/W)</t>
  </si>
  <si>
    <t>校正后最佳倾角首年发电量(kWh/W)</t>
  </si>
  <si>
    <r>
      <rPr>
        <sz val="11"/>
        <color theme="1"/>
        <rFont val="黑体"/>
        <charset val="134"/>
      </rPr>
      <t>Gh(kWh/m</t>
    </r>
    <r>
      <rPr>
        <vertAlign val="superscript"/>
        <sz val="11"/>
        <color indexed="8"/>
        <rFont val="黑体"/>
        <charset val="134"/>
      </rPr>
      <t>2</t>
    </r>
    <r>
      <rPr>
        <sz val="11"/>
        <color indexed="8"/>
        <rFont val="黑体"/>
        <charset val="134"/>
      </rPr>
      <t>)</t>
    </r>
  </si>
  <si>
    <r>
      <rPr>
        <sz val="11"/>
        <color theme="1"/>
        <rFont val="黑体"/>
        <charset val="134"/>
      </rPr>
      <t>Dh(kWh/m</t>
    </r>
    <r>
      <rPr>
        <vertAlign val="superscript"/>
        <sz val="11"/>
        <color indexed="8"/>
        <rFont val="黑体"/>
        <charset val="134"/>
      </rPr>
      <t>2</t>
    </r>
    <r>
      <rPr>
        <sz val="11"/>
        <color indexed="8"/>
        <rFont val="黑体"/>
        <charset val="134"/>
      </rPr>
      <t>)</t>
    </r>
  </si>
  <si>
    <t>地方建设补贴（元/W）</t>
  </si>
  <si>
    <t>省级度电补贴 （元/kWh）</t>
  </si>
  <si>
    <t>省级度电补贴年限 （年）</t>
  </si>
  <si>
    <t>市级建设补贴（元/W）</t>
  </si>
  <si>
    <t>市级度电补贴年限 （年）</t>
  </si>
  <si>
    <t>调整后标杆上网电价</t>
  </si>
  <si>
    <t>一般工商业（1-10KV）</t>
  </si>
  <si>
    <t>大工业用电(1-10kv)</t>
  </si>
  <si>
    <t>居民用电</t>
  </si>
  <si>
    <t>最佳倾角年发电量(kWh/W)</t>
  </si>
  <si>
    <t>尖峰</t>
  </si>
  <si>
    <t>高峰</t>
  </si>
  <si>
    <t>平段</t>
  </si>
  <si>
    <t>低谷</t>
  </si>
  <si>
    <t>加权电价</t>
  </si>
  <si>
    <t>12%指导电价</t>
  </si>
  <si>
    <t>直辖市</t>
  </si>
  <si>
    <t>天津市</t>
  </si>
  <si>
    <t>重庆市</t>
  </si>
  <si>
    <t>东北地区</t>
  </si>
  <si>
    <t>黑龙江省</t>
  </si>
  <si>
    <t>齐齐哈尔</t>
  </si>
  <si>
    <t>牡丹江</t>
  </si>
  <si>
    <t>鸡西</t>
  </si>
  <si>
    <t>鹤岗</t>
  </si>
  <si>
    <t>双鸭山</t>
  </si>
  <si>
    <t>大庆</t>
  </si>
  <si>
    <t>大兴安岭-漠河</t>
  </si>
  <si>
    <t>伊春</t>
  </si>
  <si>
    <t>七台河</t>
  </si>
  <si>
    <t>绥化</t>
  </si>
  <si>
    <t>延边-延吉</t>
  </si>
  <si>
    <t>白城</t>
  </si>
  <si>
    <t>松原-扶余</t>
  </si>
  <si>
    <t>四平</t>
  </si>
  <si>
    <t>辽源</t>
  </si>
  <si>
    <t>通化</t>
  </si>
  <si>
    <t>白山</t>
  </si>
  <si>
    <t>辽宁省</t>
  </si>
  <si>
    <t>阜新</t>
  </si>
  <si>
    <t>铁岭</t>
  </si>
  <si>
    <t>抚顺</t>
  </si>
  <si>
    <t>本溪</t>
  </si>
  <si>
    <t>辽阳</t>
  </si>
  <si>
    <t>鞍山</t>
  </si>
  <si>
    <t>丹东</t>
  </si>
  <si>
    <t>营口</t>
  </si>
  <si>
    <t>盘锦</t>
  </si>
  <si>
    <t>锦州</t>
  </si>
  <si>
    <t>葫芦岛</t>
  </si>
  <si>
    <t>华北地区</t>
  </si>
  <si>
    <t xml:space="preserve">河北省 </t>
  </si>
  <si>
    <t>石家庄</t>
  </si>
  <si>
    <t>保定</t>
  </si>
  <si>
    <t>承德</t>
  </si>
  <si>
    <t>唐山</t>
  </si>
  <si>
    <t>秦皇岛</t>
  </si>
  <si>
    <t>邯郸</t>
  </si>
  <si>
    <t>邢台</t>
  </si>
  <si>
    <t>张家口</t>
  </si>
  <si>
    <t>沧州</t>
  </si>
  <si>
    <t>廊坊</t>
  </si>
  <si>
    <t>衡水</t>
  </si>
  <si>
    <t>朔州</t>
  </si>
  <si>
    <t>阳泉</t>
  </si>
  <si>
    <t>长治</t>
  </si>
  <si>
    <t>晋城</t>
  </si>
  <si>
    <t>忻州</t>
  </si>
  <si>
    <t>晋中</t>
  </si>
  <si>
    <t>临汾</t>
  </si>
  <si>
    <t>运城</t>
  </si>
  <si>
    <t>吕梁</t>
  </si>
  <si>
    <t>呼和浩特</t>
  </si>
  <si>
    <t>包头</t>
  </si>
  <si>
    <t>乌海</t>
  </si>
  <si>
    <t>鄂尔多斯</t>
  </si>
  <si>
    <t>阿拉善</t>
  </si>
  <si>
    <t>巴彦淖尔</t>
  </si>
  <si>
    <t>乌兰察布</t>
  </si>
  <si>
    <t>赤峰</t>
  </si>
  <si>
    <t>呼伦贝尔</t>
  </si>
  <si>
    <t>兴安盟</t>
  </si>
  <si>
    <t>锡林郭勒</t>
  </si>
  <si>
    <t>华中地区</t>
  </si>
  <si>
    <t>开封</t>
  </si>
  <si>
    <t>洛阳</t>
  </si>
  <si>
    <t>焦作</t>
  </si>
  <si>
    <t>平顶山</t>
  </si>
  <si>
    <t>鹤壁</t>
  </si>
  <si>
    <t>新乡</t>
  </si>
  <si>
    <t>安阳</t>
  </si>
  <si>
    <t>濮阳</t>
  </si>
  <si>
    <t>商丘</t>
  </si>
  <si>
    <t>许昌</t>
  </si>
  <si>
    <t>漯河</t>
  </si>
  <si>
    <t>信阳</t>
  </si>
  <si>
    <t>三门峡</t>
  </si>
  <si>
    <t>周口</t>
  </si>
  <si>
    <t>驻马店</t>
  </si>
  <si>
    <t>济源</t>
  </si>
  <si>
    <t>张家界</t>
  </si>
  <si>
    <t>常德</t>
  </si>
  <si>
    <t>益阳</t>
  </si>
  <si>
    <t>岳阳</t>
  </si>
  <si>
    <t>株洲</t>
  </si>
  <si>
    <t>湘潭</t>
  </si>
  <si>
    <t>衡阳</t>
  </si>
  <si>
    <t xml:space="preserve">郴州 </t>
  </si>
  <si>
    <t>永州</t>
  </si>
  <si>
    <t>邵阳</t>
  </si>
  <si>
    <t>怀化</t>
  </si>
  <si>
    <t>娄底</t>
  </si>
  <si>
    <t>湘西</t>
  </si>
  <si>
    <t>十堰</t>
  </si>
  <si>
    <t>襄樊</t>
  </si>
  <si>
    <t>荆门</t>
  </si>
  <si>
    <t>孝感</t>
  </si>
  <si>
    <t>黄石</t>
  </si>
  <si>
    <t>咸宁</t>
  </si>
  <si>
    <t>荆州</t>
  </si>
  <si>
    <t>随州</t>
  </si>
  <si>
    <t>鄂州</t>
  </si>
  <si>
    <t>黄冈</t>
  </si>
  <si>
    <t>恩施</t>
  </si>
  <si>
    <t>仙桃</t>
  </si>
  <si>
    <t>天门</t>
  </si>
  <si>
    <t>神农架</t>
  </si>
  <si>
    <t>潜江</t>
  </si>
  <si>
    <t>西南地区</t>
  </si>
  <si>
    <t>四川省</t>
  </si>
  <si>
    <t>广元</t>
  </si>
  <si>
    <t>德阳</t>
  </si>
  <si>
    <t>南充</t>
  </si>
  <si>
    <t>广安</t>
  </si>
  <si>
    <t>遂宁</t>
  </si>
  <si>
    <t>内江</t>
  </si>
  <si>
    <t>乐山</t>
  </si>
  <si>
    <t>自贡</t>
  </si>
  <si>
    <t>宜宾</t>
  </si>
  <si>
    <t>巴中</t>
  </si>
  <si>
    <t>达州</t>
  </si>
  <si>
    <t>资阳</t>
  </si>
  <si>
    <t>眉山</t>
  </si>
  <si>
    <t>雅安</t>
  </si>
  <si>
    <t>凉山-西昌</t>
  </si>
  <si>
    <t>阿坝</t>
  </si>
  <si>
    <t>云南省</t>
  </si>
  <si>
    <t>曲靖</t>
  </si>
  <si>
    <t>玉溪</t>
  </si>
  <si>
    <t>普洱</t>
  </si>
  <si>
    <t>临沧</t>
  </si>
  <si>
    <t>德宏</t>
  </si>
  <si>
    <t>怒江</t>
  </si>
  <si>
    <t>迪庆</t>
  </si>
  <si>
    <t>楚雄</t>
  </si>
  <si>
    <t>昭通</t>
  </si>
  <si>
    <t>大理</t>
  </si>
  <si>
    <t>红河</t>
  </si>
  <si>
    <t>保山</t>
  </si>
  <si>
    <t>文山</t>
  </si>
  <si>
    <t>西双版纳</t>
  </si>
  <si>
    <t>贵州省</t>
  </si>
  <si>
    <t>六盘水</t>
  </si>
  <si>
    <t>遵义</t>
  </si>
  <si>
    <t>安顺</t>
  </si>
  <si>
    <t>毕节</t>
  </si>
  <si>
    <t>黔西南</t>
  </si>
  <si>
    <t>铜仁</t>
  </si>
  <si>
    <t>阿里</t>
  </si>
  <si>
    <t>林芝</t>
  </si>
  <si>
    <t>日喀则</t>
  </si>
  <si>
    <t>山南</t>
  </si>
  <si>
    <t>西北地区</t>
  </si>
  <si>
    <t>昌吉</t>
  </si>
  <si>
    <t>克拉玛依</t>
  </si>
  <si>
    <t>石河子</t>
  </si>
  <si>
    <t>伊犁</t>
  </si>
  <si>
    <t>巴音郭楞</t>
  </si>
  <si>
    <t>阿勒泰</t>
  </si>
  <si>
    <t>博尔塔拉</t>
  </si>
  <si>
    <t>克孜勒苏</t>
  </si>
  <si>
    <t>图木舒克</t>
  </si>
  <si>
    <t>阿拉尔</t>
  </si>
  <si>
    <t>五家渠</t>
  </si>
  <si>
    <t>宝鸡</t>
  </si>
  <si>
    <t>咸阳</t>
  </si>
  <si>
    <t>渭南</t>
  </si>
  <si>
    <t>铜川</t>
  </si>
  <si>
    <t>榆林</t>
  </si>
  <si>
    <t>汉中</t>
  </si>
  <si>
    <t>安康</t>
  </si>
  <si>
    <t>商洛</t>
  </si>
  <si>
    <t>甘肃省</t>
  </si>
  <si>
    <t>嘉峪关</t>
  </si>
  <si>
    <t>张掖</t>
  </si>
  <si>
    <t>天水</t>
  </si>
  <si>
    <t>白银</t>
  </si>
  <si>
    <t>定西</t>
  </si>
  <si>
    <t>甘南</t>
  </si>
  <si>
    <t>金昌</t>
  </si>
  <si>
    <t>临夏</t>
  </si>
  <si>
    <t>陇南</t>
  </si>
  <si>
    <t>平凉</t>
  </si>
  <si>
    <t>庆阳</t>
  </si>
  <si>
    <t>武威</t>
  </si>
  <si>
    <t>石嘴山</t>
  </si>
  <si>
    <t>中卫</t>
  </si>
  <si>
    <t>吴忠</t>
  </si>
  <si>
    <t>青海省</t>
  </si>
  <si>
    <t>果洛-达日</t>
  </si>
  <si>
    <t>海北-海晏</t>
  </si>
  <si>
    <t>海东-平安</t>
  </si>
  <si>
    <t>海南-共和</t>
  </si>
  <si>
    <t>海西-格尔木</t>
  </si>
  <si>
    <t>海西-德令哈</t>
  </si>
  <si>
    <t>黄南-同仁</t>
  </si>
  <si>
    <t>华南地区</t>
  </si>
  <si>
    <t>清远</t>
  </si>
  <si>
    <t>韶关</t>
  </si>
  <si>
    <t>河源</t>
  </si>
  <si>
    <t>梅州</t>
  </si>
  <si>
    <t>潮州</t>
  </si>
  <si>
    <t>揭阳</t>
  </si>
  <si>
    <t>汕尾</t>
  </si>
  <si>
    <t>惠州</t>
  </si>
  <si>
    <t>东莞</t>
  </si>
  <si>
    <t>深圳</t>
  </si>
  <si>
    <t>珠海</t>
  </si>
  <si>
    <t>中山</t>
  </si>
  <si>
    <t>江门</t>
  </si>
  <si>
    <t>佛山</t>
  </si>
  <si>
    <t>肇庆</t>
  </si>
  <si>
    <t>云浮</t>
  </si>
  <si>
    <t>阳江</t>
  </si>
  <si>
    <t>茂名</t>
  </si>
  <si>
    <t>湛江</t>
  </si>
  <si>
    <t>百色</t>
  </si>
  <si>
    <t>玉林</t>
  </si>
  <si>
    <t>钦州</t>
  </si>
  <si>
    <t>梧州</t>
  </si>
  <si>
    <t>柳州</t>
  </si>
  <si>
    <t>河池</t>
  </si>
  <si>
    <t>防城港</t>
  </si>
  <si>
    <t>贺州</t>
  </si>
  <si>
    <t>来宾</t>
  </si>
  <si>
    <t>崇左</t>
  </si>
  <si>
    <t>贵港</t>
  </si>
  <si>
    <t>海南省</t>
  </si>
  <si>
    <t xml:space="preserve">海口 </t>
  </si>
  <si>
    <t>琼海</t>
  </si>
  <si>
    <t>白沙</t>
  </si>
  <si>
    <t>保亭</t>
  </si>
  <si>
    <t>昌江</t>
  </si>
  <si>
    <t>澄迈</t>
  </si>
  <si>
    <t>儋州</t>
  </si>
  <si>
    <t>定安</t>
  </si>
  <si>
    <t>东方</t>
  </si>
  <si>
    <t>乐东</t>
  </si>
  <si>
    <t>临高</t>
  </si>
  <si>
    <t>陵水</t>
  </si>
  <si>
    <t>琼中</t>
  </si>
  <si>
    <t>屯昌</t>
  </si>
  <si>
    <t>万宁</t>
  </si>
  <si>
    <t>文昌</t>
  </si>
  <si>
    <t>五指山</t>
  </si>
  <si>
    <t>华东地区</t>
  </si>
  <si>
    <t>徐州</t>
  </si>
  <si>
    <t>连云港</t>
  </si>
  <si>
    <t>盐城</t>
  </si>
  <si>
    <t>泰州</t>
  </si>
  <si>
    <t>镇江</t>
  </si>
  <si>
    <t>南通</t>
  </si>
  <si>
    <t>常州</t>
  </si>
  <si>
    <t>无锡</t>
  </si>
  <si>
    <t>苏州</t>
  </si>
  <si>
    <t>淮安</t>
  </si>
  <si>
    <t>宿迁</t>
  </si>
  <si>
    <t>扬州</t>
  </si>
  <si>
    <t>绍兴</t>
  </si>
  <si>
    <t>宁波</t>
  </si>
  <si>
    <t>湖州</t>
  </si>
  <si>
    <t>嘉兴</t>
  </si>
  <si>
    <t>金华</t>
  </si>
  <si>
    <t>丽水</t>
  </si>
  <si>
    <t>温州</t>
  </si>
  <si>
    <t>台州</t>
  </si>
  <si>
    <t>舟山</t>
  </si>
  <si>
    <t>衢州</t>
  </si>
  <si>
    <t>福建省</t>
  </si>
  <si>
    <t>莆田</t>
  </si>
  <si>
    <t>南平</t>
  </si>
  <si>
    <t>厦门</t>
  </si>
  <si>
    <t>泉州</t>
  </si>
  <si>
    <t>漳州</t>
  </si>
  <si>
    <t>三明</t>
  </si>
  <si>
    <t>龙岩</t>
  </si>
  <si>
    <t>宁德</t>
  </si>
  <si>
    <t>青岛</t>
  </si>
  <si>
    <t>淄博</t>
  </si>
  <si>
    <t>东营</t>
  </si>
  <si>
    <t>潍坊</t>
  </si>
  <si>
    <t>枣庄</t>
  </si>
  <si>
    <t>威海</t>
  </si>
  <si>
    <t>济宁</t>
  </si>
  <si>
    <t>泰安</t>
  </si>
  <si>
    <t>日照</t>
  </si>
  <si>
    <t>莱芜</t>
  </si>
  <si>
    <t>临沂</t>
  </si>
  <si>
    <t>德州</t>
  </si>
  <si>
    <t>聊城</t>
  </si>
  <si>
    <t>滨州</t>
  </si>
  <si>
    <t>菏泽</t>
  </si>
  <si>
    <t>九江</t>
  </si>
  <si>
    <t>景德镇</t>
  </si>
  <si>
    <t>上饶</t>
  </si>
  <si>
    <t>鹰潭</t>
  </si>
  <si>
    <t>宜春</t>
  </si>
  <si>
    <t>萍乡</t>
  </si>
  <si>
    <t>吉安</t>
  </si>
  <si>
    <t>抚州</t>
  </si>
  <si>
    <t>新余</t>
  </si>
  <si>
    <t>芜湖</t>
  </si>
  <si>
    <t>黄山</t>
  </si>
  <si>
    <t>安庆</t>
  </si>
  <si>
    <t>蚌埠</t>
  </si>
  <si>
    <t>亳州</t>
  </si>
  <si>
    <t>池州</t>
  </si>
  <si>
    <t>滁州</t>
  </si>
  <si>
    <t>阜阳</t>
  </si>
  <si>
    <t>淮北</t>
  </si>
  <si>
    <t>六安</t>
  </si>
  <si>
    <t>马鞍山</t>
  </si>
  <si>
    <t>宿州</t>
  </si>
  <si>
    <t>铜陵</t>
  </si>
  <si>
    <t>宣城</t>
  </si>
  <si>
    <t>淮南</t>
  </si>
  <si>
    <t>投资单价（含开发费）（元/Wh）</t>
  </si>
  <si>
    <t>实际值</t>
  </si>
  <si>
    <t>浮动比例</t>
  </si>
  <si>
    <t>静态回收年</t>
  </si>
  <si>
    <t>动态回收年</t>
  </si>
  <si>
    <t>场地租金(万/年）</t>
  </si>
  <si>
    <t>运维费（万/年）</t>
  </si>
  <si>
    <t>百分比</t>
  </si>
  <si>
    <t>开发费（元/Wh）</t>
  </si>
  <si>
    <t>平均电价差（元/度）</t>
  </si>
  <si>
    <t>峰电价格</t>
  </si>
  <si>
    <t>综合利率</t>
  </si>
</sst>
</file>

<file path=xl/styles.xml><?xml version="1.0" encoding="utf-8"?>
<styleSheet xmlns="http://schemas.openxmlformats.org/spreadsheetml/2006/main">
  <numFmts count="19">
    <numFmt numFmtId="43" formatCode="_ * #,##0.00_ ;_ * \-#,##0.00_ ;_ * &quot;-&quot;??_ ;_ @_ "/>
    <numFmt numFmtId="41" formatCode="_ * #,##0_ ;_ * \-#,##0_ ;_ * &quot;-&quot;_ ;_ @_ "/>
    <numFmt numFmtId="176" formatCode="0.0_ "/>
    <numFmt numFmtId="177" formatCode="0.000000%"/>
    <numFmt numFmtId="178" formatCode="0.00_ ;[Red]\-0.00\ "/>
    <numFmt numFmtId="179" formatCode="\¥#,##0.00_);[Red]\(\¥#,##0.00\)"/>
    <numFmt numFmtId="180" formatCode="0.00_ "/>
    <numFmt numFmtId="181" formatCode="0.000_ "/>
    <numFmt numFmtId="42" formatCode="_ &quot;￥&quot;* #,##0_ ;_ &quot;￥&quot;* \-#,##0_ ;_ &quot;￥&quot;* &quot;-&quot;_ ;_ @_ "/>
    <numFmt numFmtId="182" formatCode="\¥#,##0.00;[Red]\¥\-#,##0.00"/>
    <numFmt numFmtId="183" formatCode="\¥#,##0.00_);\(\¥#,##0.00\)"/>
    <numFmt numFmtId="44" formatCode="_ &quot;￥&quot;* #,##0.00_ ;_ &quot;￥&quot;* \-#,##0.00_ ;_ &quot;￥&quot;* &quot;-&quot;??_ ;_ @_ "/>
    <numFmt numFmtId="184" formatCode="0.00_);[Red]\(0.00\)"/>
    <numFmt numFmtId="185" formatCode="0_);[Red]\(0\)"/>
    <numFmt numFmtId="186" formatCode="0_ "/>
    <numFmt numFmtId="187" formatCode="\¥#,##0.00;\¥\-#,##0.00"/>
    <numFmt numFmtId="188" formatCode="0.000_);[Red]\(0.000\)"/>
    <numFmt numFmtId="189" formatCode="0.0%"/>
    <numFmt numFmtId="190" formatCode="0.000%"/>
  </numFmts>
  <fonts count="59">
    <font>
      <sz val="11"/>
      <color theme="1"/>
      <name val="DengXian"/>
      <charset val="134"/>
      <scheme val="minor"/>
    </font>
    <font>
      <sz val="11"/>
      <color theme="0"/>
      <name val="DengXian"/>
      <charset val="134"/>
      <scheme val="minor"/>
    </font>
    <font>
      <sz val="11"/>
      <color rgb="FF000000"/>
      <name val="DengXian"/>
      <charset val="134"/>
      <scheme val="minor"/>
    </font>
    <font>
      <sz val="11"/>
      <name val="黑体"/>
      <charset val="134"/>
    </font>
    <font>
      <sz val="11"/>
      <color theme="1"/>
      <name val="黑体"/>
      <charset val="134"/>
    </font>
    <font>
      <sz val="10"/>
      <color theme="1"/>
      <name val="宋体"/>
      <charset val="134"/>
    </font>
    <font>
      <b/>
      <sz val="14"/>
      <name val="黑体"/>
      <charset val="134"/>
    </font>
    <font>
      <sz val="11"/>
      <color rgb="FFFF0000"/>
      <name val="黑体"/>
      <charset val="134"/>
    </font>
    <font>
      <b/>
      <sz val="12"/>
      <name val="黑体"/>
      <charset val="134"/>
    </font>
    <font>
      <sz val="10"/>
      <name val="宋体"/>
      <charset val="134"/>
    </font>
    <font>
      <sz val="10"/>
      <name val="黑体"/>
      <charset val="134"/>
    </font>
    <font>
      <sz val="11"/>
      <color indexed="8"/>
      <name val="宋体"/>
      <charset val="134"/>
    </font>
    <font>
      <sz val="8"/>
      <color rgb="FF666666"/>
      <name val="Arial"/>
      <charset val="134"/>
    </font>
    <font>
      <sz val="8"/>
      <color rgb="FF333333"/>
      <name val="Arial"/>
      <charset val="134"/>
    </font>
    <font>
      <b/>
      <sz val="12"/>
      <name val="宋体"/>
      <charset val="134"/>
    </font>
    <font>
      <sz val="12"/>
      <name val="宋体"/>
      <charset val="134"/>
    </font>
    <font>
      <sz val="10"/>
      <color theme="1"/>
      <name val="DengXian"/>
      <charset val="134"/>
      <scheme val="minor"/>
    </font>
    <font>
      <sz val="10.5"/>
      <color theme="1"/>
      <name val="Arial Unicode MS"/>
      <charset val="134"/>
    </font>
    <font>
      <sz val="10"/>
      <color theme="1"/>
      <name val="Arial Unicode MS"/>
      <charset val="134"/>
    </font>
    <font>
      <sz val="9"/>
      <color theme="1"/>
      <name val="Arial Unicode MS"/>
      <charset val="134"/>
    </font>
    <font>
      <b/>
      <sz val="17"/>
      <color theme="0"/>
      <name val="微软雅黑"/>
      <charset val="134"/>
    </font>
    <font>
      <b/>
      <sz val="11"/>
      <color theme="1"/>
      <name val="微软雅黑"/>
      <charset val="134"/>
    </font>
    <font>
      <b/>
      <sz val="12"/>
      <color theme="0"/>
      <name val="微软雅黑"/>
      <charset val="134"/>
    </font>
    <font>
      <sz val="11"/>
      <color theme="1"/>
      <name val="微软雅黑"/>
      <charset val="134"/>
    </font>
    <font>
      <sz val="11"/>
      <color theme="1"/>
      <name val="宋体"/>
      <charset val="134"/>
    </font>
    <font>
      <sz val="11"/>
      <color theme="1"/>
      <name val="Calibri"/>
      <charset val="134"/>
    </font>
    <font>
      <sz val="11"/>
      <color theme="1"/>
      <name val="Arial Unicode MS"/>
      <charset val="134"/>
    </font>
    <font>
      <sz val="11"/>
      <color rgb="FFFF0000"/>
      <name val="DengXian"/>
      <charset val="134"/>
      <scheme val="minor"/>
    </font>
    <font>
      <sz val="11"/>
      <color theme="0" tint="-0.149998474074526"/>
      <name val="DengXian"/>
      <charset val="134"/>
      <scheme val="minor"/>
    </font>
    <font>
      <sz val="11"/>
      <color theme="0" tint="-0.149998474074526"/>
      <name val="DengXian"/>
      <charset val="134"/>
      <scheme val="minor"/>
    </font>
    <font>
      <sz val="11"/>
      <name val="DengXian"/>
      <charset val="134"/>
      <scheme val="minor"/>
    </font>
    <font>
      <sz val="9"/>
      <color theme="1"/>
      <name val="DengXian"/>
      <charset val="134"/>
      <scheme val="minor"/>
    </font>
    <font>
      <sz val="9"/>
      <name val="DengXian"/>
      <charset val="134"/>
      <scheme val="minor"/>
    </font>
    <font>
      <sz val="11"/>
      <name val="宋体"/>
      <charset val="134"/>
    </font>
    <font>
      <sz val="11"/>
      <color theme="4"/>
      <name val="DengXian"/>
      <charset val="134"/>
      <scheme val="minor"/>
    </font>
    <font>
      <sz val="11"/>
      <color theme="9" tint="-0.249977111117893"/>
      <name val="DengXian"/>
      <charset val="134"/>
      <scheme val="minor"/>
    </font>
    <font>
      <sz val="11"/>
      <color rgb="FF008000"/>
      <name val="DengXian"/>
      <charset val="134"/>
      <scheme val="minor"/>
    </font>
    <font>
      <b/>
      <sz val="48"/>
      <color rgb="FFFF0000"/>
      <name val="DengXian"/>
      <charset val="134"/>
      <scheme val="minor"/>
    </font>
    <font>
      <sz val="11"/>
      <color theme="0"/>
      <name val="DengXian"/>
      <charset val="0"/>
      <scheme val="minor"/>
    </font>
    <font>
      <sz val="11"/>
      <color rgb="FF9C6500"/>
      <name val="DengXian"/>
      <charset val="0"/>
      <scheme val="minor"/>
    </font>
    <font>
      <sz val="11"/>
      <color theme="1"/>
      <name val="DengXian"/>
      <charset val="134"/>
      <scheme val="minor"/>
    </font>
    <font>
      <sz val="11"/>
      <color theme="1"/>
      <name val="DengXian"/>
      <charset val="134"/>
      <scheme val="minor"/>
    </font>
    <font>
      <sz val="11"/>
      <color theme="1"/>
      <name val="DengXian"/>
      <charset val="0"/>
      <scheme val="minor"/>
    </font>
    <font>
      <sz val="11"/>
      <color rgb="FF9C0006"/>
      <name val="DengXian"/>
      <charset val="0"/>
      <scheme val="minor"/>
    </font>
    <font>
      <b/>
      <sz val="11"/>
      <color rgb="FFFFFFFF"/>
      <name val="DengXian"/>
      <charset val="0"/>
      <scheme val="minor"/>
    </font>
    <font>
      <i/>
      <sz val="11"/>
      <color rgb="FF7F7F7F"/>
      <name val="DengXian"/>
      <charset val="0"/>
      <scheme val="minor"/>
    </font>
    <font>
      <b/>
      <sz val="11"/>
      <color theme="3"/>
      <name val="DengXian"/>
      <charset val="134"/>
      <scheme val="minor"/>
    </font>
    <font>
      <sz val="11"/>
      <color rgb="FF3F3F76"/>
      <name val="DengXian"/>
      <charset val="0"/>
      <scheme val="minor"/>
    </font>
    <font>
      <b/>
      <sz val="11"/>
      <color theme="1"/>
      <name val="DengXian"/>
      <charset val="0"/>
      <scheme val="minor"/>
    </font>
    <font>
      <b/>
      <sz val="13"/>
      <color theme="3"/>
      <name val="DengXian"/>
      <charset val="134"/>
      <scheme val="minor"/>
    </font>
    <font>
      <sz val="11"/>
      <color rgb="FFFF0000"/>
      <name val="DengXian"/>
      <charset val="0"/>
      <scheme val="minor"/>
    </font>
    <font>
      <sz val="11"/>
      <color rgb="FFFA7D00"/>
      <name val="DengXian"/>
      <charset val="0"/>
      <scheme val="minor"/>
    </font>
    <font>
      <sz val="11"/>
      <color rgb="FF006100"/>
      <name val="DengXian"/>
      <charset val="0"/>
      <scheme val="minor"/>
    </font>
    <font>
      <b/>
      <sz val="11"/>
      <color rgb="FF3F3F3F"/>
      <name val="DengXian"/>
      <charset val="0"/>
      <scheme val="minor"/>
    </font>
    <font>
      <b/>
      <sz val="15"/>
      <color theme="3"/>
      <name val="DengXian"/>
      <charset val="134"/>
      <scheme val="minor"/>
    </font>
    <font>
      <b/>
      <sz val="11"/>
      <color rgb="FFFA7D00"/>
      <name val="DengXian"/>
      <charset val="0"/>
      <scheme val="minor"/>
    </font>
    <font>
      <b/>
      <sz val="18"/>
      <color theme="3"/>
      <name val="DengXian"/>
      <charset val="134"/>
      <scheme val="minor"/>
    </font>
    <font>
      <vertAlign val="superscript"/>
      <sz val="11"/>
      <color indexed="8"/>
      <name val="黑体"/>
      <charset val="134"/>
    </font>
    <font>
      <sz val="11"/>
      <color indexed="8"/>
      <name val="黑体"/>
      <charset val="134"/>
    </font>
  </fonts>
  <fills count="55">
    <fill>
      <patternFill patternType="none"/>
    </fill>
    <fill>
      <patternFill patternType="gray125"/>
    </fill>
    <fill>
      <patternFill patternType="solid">
        <fgColor rgb="FFFFFF00"/>
        <bgColor indexed="64"/>
      </patternFill>
    </fill>
    <fill>
      <patternFill patternType="solid">
        <fgColor indexed="22"/>
        <bgColor indexed="64"/>
      </patternFill>
    </fill>
    <fill>
      <patternFill patternType="solid">
        <fgColor rgb="FF92D050"/>
        <bgColor indexed="64"/>
      </patternFill>
    </fill>
    <fill>
      <patternFill patternType="solid">
        <fgColor theme="0"/>
        <bgColor indexed="64"/>
      </patternFill>
    </fill>
    <fill>
      <patternFill patternType="solid">
        <fgColor rgb="FFFFC000"/>
        <bgColor indexed="64"/>
      </patternFill>
    </fill>
    <fill>
      <patternFill patternType="solid">
        <fgColor rgb="FFFFFFFF"/>
        <bgColor indexed="64"/>
      </patternFill>
    </fill>
    <fill>
      <patternFill patternType="solid">
        <fgColor theme="9" tint="0.399975585192419"/>
        <bgColor indexed="64"/>
      </patternFill>
    </fill>
    <fill>
      <patternFill patternType="solid">
        <fgColor theme="9"/>
        <bgColor indexed="64"/>
      </patternFill>
    </fill>
    <fill>
      <patternFill patternType="solid">
        <fgColor rgb="FF00B050"/>
        <bgColor indexed="64"/>
      </patternFill>
    </fill>
    <fill>
      <patternFill patternType="solid">
        <fgColor theme="4" tint="0.399975585192419"/>
        <bgColor indexed="64"/>
      </patternFill>
    </fill>
    <fill>
      <patternFill patternType="solid">
        <fgColor theme="5" tint="0.599993896298105"/>
        <bgColor indexed="64"/>
      </patternFill>
    </fill>
    <fill>
      <patternFill patternType="solid">
        <fgColor theme="8" tint="0.399975585192419"/>
        <bgColor indexed="64"/>
      </patternFill>
    </fill>
    <fill>
      <patternFill patternType="solid">
        <fgColor theme="9" tint="0.799981688894314"/>
        <bgColor indexed="64"/>
      </patternFill>
    </fill>
    <fill>
      <patternFill patternType="solid">
        <fgColor theme="6" tint="0.799981688894314"/>
        <bgColor indexed="64"/>
      </patternFill>
    </fill>
    <fill>
      <patternFill patternType="solid">
        <fgColor theme="5" tint="0.799981688894314"/>
        <bgColor indexed="64"/>
      </patternFill>
    </fill>
    <fill>
      <patternFill patternType="solid">
        <fgColor rgb="FF52AE1D"/>
        <bgColor indexed="64"/>
      </patternFill>
    </fill>
    <fill>
      <patternFill patternType="solid">
        <fgColor rgb="FF72C131"/>
        <bgColor indexed="64"/>
      </patternFill>
    </fill>
    <fill>
      <patternFill patternType="solid">
        <fgColor rgb="FF82C93F"/>
        <bgColor indexed="64"/>
      </patternFill>
    </fill>
    <fill>
      <patternFill patternType="solid">
        <fgColor rgb="FF61B826"/>
        <bgColor indexed="64"/>
      </patternFill>
    </fill>
    <fill>
      <patternFill patternType="solid">
        <fgColor theme="4" tint="0.799981688894314"/>
        <bgColor indexed="64"/>
      </patternFill>
    </fill>
    <fill>
      <patternFill patternType="solid">
        <fgColor rgb="FFD4DFEE"/>
        <bgColor indexed="64"/>
      </patternFill>
    </fill>
    <fill>
      <patternFill patternType="solid">
        <fgColor theme="0" tint="-0.249977111117893"/>
        <bgColor indexed="64"/>
      </patternFill>
    </fill>
    <fill>
      <patternFill patternType="solid">
        <fgColor theme="8"/>
        <bgColor indexed="64"/>
      </patternFill>
    </fill>
    <fill>
      <patternFill patternType="solid">
        <fgColor rgb="FFFFEB9C"/>
        <bgColor indexed="64"/>
      </patternFill>
    </fill>
    <fill>
      <patternFill patternType="solid">
        <fgColor theme="6" tint="0.399975585192419"/>
        <bgColor indexed="64"/>
      </patternFill>
    </fill>
    <fill>
      <patternFill patternType="solid">
        <fgColor theme="9" tint="0.799981688894314"/>
        <bgColor indexed="64"/>
      </patternFill>
    </fill>
    <fill>
      <patternFill patternType="solid">
        <fgColor theme="6" tint="0.799981688894314"/>
        <bgColor indexed="64"/>
      </patternFill>
    </fill>
    <fill>
      <patternFill patternType="solid">
        <fgColor rgb="FFFFC7CE"/>
        <bgColor indexed="64"/>
      </patternFill>
    </fill>
    <fill>
      <patternFill patternType="solid">
        <fgColor theme="7" tint="0.799981688894314"/>
        <bgColor indexed="64"/>
      </patternFill>
    </fill>
    <fill>
      <patternFill patternType="solid">
        <fgColor theme="4"/>
        <bgColor indexed="64"/>
      </patternFill>
    </fill>
    <fill>
      <patternFill patternType="solid">
        <fgColor theme="8" tint="0.799981688894314"/>
        <bgColor indexed="64"/>
      </patternFill>
    </fill>
    <fill>
      <patternFill patternType="solid">
        <fgColor rgb="FFA5A5A5"/>
        <bgColor indexed="64"/>
      </patternFill>
    </fill>
    <fill>
      <patternFill patternType="solid">
        <fgColor theme="6" tint="0.599993896298105"/>
        <bgColor indexed="64"/>
      </patternFill>
    </fill>
    <fill>
      <patternFill patternType="solid">
        <fgColor theme="9"/>
        <bgColor indexed="64"/>
      </patternFill>
    </fill>
    <fill>
      <patternFill patternType="solid">
        <fgColor theme="8" tint="0.599993896298105"/>
        <bgColor indexed="64"/>
      </patternFill>
    </fill>
    <fill>
      <patternFill patternType="solid">
        <fgColor theme="5" tint="0.599993896298105"/>
        <bgColor indexed="64"/>
      </patternFill>
    </fill>
    <fill>
      <patternFill patternType="solid">
        <fgColor theme="4" tint="0.799981688894314"/>
        <bgColor indexed="64"/>
      </patternFill>
    </fill>
    <fill>
      <patternFill patternType="solid">
        <fgColor rgb="FFFFCC99"/>
        <bgColor indexed="64"/>
      </patternFill>
    </fill>
    <fill>
      <patternFill patternType="solid">
        <fgColor theme="8" tint="0.399975585192419"/>
        <bgColor indexed="64"/>
      </patternFill>
    </fill>
    <fill>
      <patternFill patternType="solid">
        <fgColor theme="5" tint="0.399975585192419"/>
        <bgColor indexed="64"/>
      </patternFill>
    </fill>
    <fill>
      <patternFill patternType="solid">
        <fgColor theme="9" tint="0.399975585192419"/>
        <bgColor indexed="64"/>
      </patternFill>
    </fill>
    <fill>
      <patternFill patternType="solid">
        <fgColor theme="5" tint="0.799981688894314"/>
        <bgColor indexed="64"/>
      </patternFill>
    </fill>
    <fill>
      <patternFill patternType="solid">
        <fgColor theme="4" tint="0.599993896298105"/>
        <bgColor indexed="64"/>
      </patternFill>
    </fill>
    <fill>
      <patternFill patternType="solid">
        <fgColor theme="7" tint="0.399975585192419"/>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6"/>
        <bgColor indexed="64"/>
      </patternFill>
    </fill>
    <fill>
      <patternFill patternType="solid">
        <fgColor rgb="FFC6EFCE"/>
        <bgColor indexed="64"/>
      </patternFill>
    </fill>
    <fill>
      <patternFill patternType="solid">
        <fgColor rgb="FFF2F2F2"/>
        <bgColor indexed="64"/>
      </patternFill>
    </fill>
    <fill>
      <patternFill patternType="solid">
        <fgColor rgb="FFFFFFCC"/>
        <bgColor indexed="64"/>
      </patternFill>
    </fill>
    <fill>
      <patternFill patternType="solid">
        <fgColor theme="7"/>
        <bgColor indexed="64"/>
      </patternFill>
    </fill>
    <fill>
      <patternFill patternType="solid">
        <fgColor theme="5"/>
        <bgColor indexed="64"/>
      </patternFill>
    </fill>
    <fill>
      <patternFill patternType="solid">
        <fgColor theme="4" tint="0.399975585192419"/>
        <bgColor indexed="64"/>
      </patternFill>
    </fill>
  </fills>
  <borders count="33">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medium">
        <color auto="1"/>
      </left>
      <right style="hair">
        <color auto="1"/>
      </right>
      <top style="medium">
        <color auto="1"/>
      </top>
      <bottom style="hair">
        <color auto="1"/>
      </bottom>
      <diagonal/>
    </border>
    <border>
      <left style="hair">
        <color auto="1"/>
      </left>
      <right style="hair">
        <color auto="1"/>
      </right>
      <top style="medium">
        <color auto="1"/>
      </top>
      <bottom style="hair">
        <color auto="1"/>
      </bottom>
      <diagonal/>
    </border>
    <border>
      <left style="medium">
        <color auto="1"/>
      </left>
      <right style="hair">
        <color auto="1"/>
      </right>
      <top style="hair">
        <color auto="1"/>
      </top>
      <bottom style="medium">
        <color auto="1"/>
      </bottom>
      <diagonal/>
    </border>
    <border>
      <left style="hair">
        <color auto="1"/>
      </left>
      <right style="hair">
        <color auto="1"/>
      </right>
      <top style="hair">
        <color auto="1"/>
      </top>
      <bottom style="medium">
        <color auto="1"/>
      </bottom>
      <diagonal/>
    </border>
    <border>
      <left style="hair">
        <color auto="1"/>
      </left>
      <right style="medium">
        <color auto="1"/>
      </right>
      <top style="medium">
        <color auto="1"/>
      </top>
      <bottom style="hair">
        <color auto="1"/>
      </bottom>
      <diagonal/>
    </border>
    <border>
      <left style="hair">
        <color auto="1"/>
      </left>
      <right style="medium">
        <color auto="1"/>
      </right>
      <top style="hair">
        <color auto="1"/>
      </top>
      <bottom style="medium">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medium">
        <color auto="1"/>
      </left>
      <right/>
      <top style="medium">
        <color auto="1"/>
      </top>
      <bottom style="medium">
        <color auto="1"/>
      </bottom>
      <diagonal/>
    </border>
    <border>
      <left style="medium">
        <color auto="1"/>
      </left>
      <right/>
      <top/>
      <bottom style="medium">
        <color auto="1"/>
      </bottom>
      <diagonal/>
    </border>
    <border>
      <left style="medium">
        <color auto="1"/>
      </left>
      <right style="thin">
        <color auto="1"/>
      </right>
      <top style="medium">
        <color auto="1"/>
      </top>
      <bottom/>
      <diagonal/>
    </border>
    <border>
      <left style="medium">
        <color auto="1"/>
      </left>
      <right style="thin">
        <color auto="1"/>
      </right>
      <top/>
      <bottom style="medium">
        <color auto="1"/>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style="thin">
        <color auto="1"/>
      </right>
      <top/>
      <bottom style="thin">
        <color auto="1"/>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right/>
      <top/>
      <bottom style="medium">
        <color theme="4"/>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s>
  <cellStyleXfs count="50">
    <xf numFmtId="0" fontId="0" fillId="0" borderId="0">
      <alignment vertical="center"/>
    </xf>
    <xf numFmtId="42" fontId="40" fillId="0" borderId="0" applyFont="0" applyFill="0" applyBorder="0" applyAlignment="0" applyProtection="0">
      <alignment vertical="center"/>
    </xf>
    <xf numFmtId="0" fontId="42" fillId="28" borderId="0" applyNumberFormat="0" applyBorder="0" applyAlignment="0" applyProtection="0">
      <alignment vertical="center"/>
    </xf>
    <xf numFmtId="0" fontId="47" fillId="39" borderId="26" applyNumberFormat="0" applyAlignment="0" applyProtection="0">
      <alignment vertical="center"/>
    </xf>
    <xf numFmtId="44" fontId="40" fillId="0" borderId="0" applyFont="0" applyFill="0" applyBorder="0" applyAlignment="0" applyProtection="0">
      <alignment vertical="center"/>
    </xf>
    <xf numFmtId="41" fontId="40" fillId="0" borderId="0" applyFont="0" applyFill="0" applyBorder="0" applyAlignment="0" applyProtection="0">
      <alignment vertical="center"/>
    </xf>
    <xf numFmtId="0" fontId="42" fillId="34" borderId="0" applyNumberFormat="0" applyBorder="0" applyAlignment="0" applyProtection="0">
      <alignment vertical="center"/>
    </xf>
    <xf numFmtId="0" fontId="43" fillId="29" borderId="0" applyNumberFormat="0" applyBorder="0" applyAlignment="0" applyProtection="0">
      <alignment vertical="center"/>
    </xf>
    <xf numFmtId="43" fontId="40" fillId="0" borderId="0" applyFont="0" applyFill="0" applyBorder="0" applyAlignment="0" applyProtection="0">
      <alignment vertical="center"/>
    </xf>
    <xf numFmtId="0" fontId="38" fillId="26" borderId="0" applyNumberFormat="0" applyBorder="0" applyAlignment="0" applyProtection="0">
      <alignment vertical="center"/>
    </xf>
    <xf numFmtId="9" fontId="0" fillId="0" borderId="0" applyFont="0" applyFill="0" applyBorder="0" applyAlignment="0" applyProtection="0">
      <alignment vertical="center"/>
    </xf>
    <xf numFmtId="9" fontId="41" fillId="0" borderId="0" applyFont="0" applyFill="0" applyBorder="0" applyAlignment="0" applyProtection="0">
      <alignment vertical="center"/>
    </xf>
    <xf numFmtId="0" fontId="40" fillId="51" borderId="31" applyNumberFormat="0" applyFont="0" applyAlignment="0" applyProtection="0">
      <alignment vertical="center"/>
    </xf>
    <xf numFmtId="0" fontId="38" fillId="41" borderId="0" applyNumberFormat="0" applyBorder="0" applyAlignment="0" applyProtection="0">
      <alignment vertical="center"/>
    </xf>
    <xf numFmtId="0" fontId="46" fillId="0" borderId="0" applyNumberFormat="0" applyFill="0" applyBorder="0" applyAlignment="0" applyProtection="0">
      <alignment vertical="center"/>
    </xf>
    <xf numFmtId="0" fontId="50" fillId="0" borderId="0" applyNumberFormat="0" applyFill="0" applyBorder="0" applyAlignment="0" applyProtection="0">
      <alignment vertical="center"/>
    </xf>
    <xf numFmtId="0" fontId="56"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54" fillId="0" borderId="28" applyNumberFormat="0" applyFill="0" applyAlignment="0" applyProtection="0">
      <alignment vertical="center"/>
    </xf>
    <xf numFmtId="0" fontId="49" fillId="0" borderId="28" applyNumberFormat="0" applyFill="0" applyAlignment="0" applyProtection="0">
      <alignment vertical="center"/>
    </xf>
    <xf numFmtId="0" fontId="38" fillId="54" borderId="0" applyNumberFormat="0" applyBorder="0" applyAlignment="0" applyProtection="0">
      <alignment vertical="center"/>
    </xf>
    <xf numFmtId="0" fontId="46" fillId="0" borderId="32" applyNumberFormat="0" applyFill="0" applyAlignment="0" applyProtection="0">
      <alignment vertical="center"/>
    </xf>
    <xf numFmtId="0" fontId="38" fillId="45" borderId="0" applyNumberFormat="0" applyBorder="0" applyAlignment="0" applyProtection="0">
      <alignment vertical="center"/>
    </xf>
    <xf numFmtId="0" fontId="53" fillId="50" borderId="30" applyNumberFormat="0" applyAlignment="0" applyProtection="0">
      <alignment vertical="center"/>
    </xf>
    <xf numFmtId="0" fontId="55" fillId="50" borderId="26" applyNumberFormat="0" applyAlignment="0" applyProtection="0">
      <alignment vertical="center"/>
    </xf>
    <xf numFmtId="0" fontId="44" fillId="33" borderId="25" applyNumberFormat="0" applyAlignment="0" applyProtection="0">
      <alignment vertical="center"/>
    </xf>
    <xf numFmtId="0" fontId="42" fillId="27" borderId="0" applyNumberFormat="0" applyBorder="0" applyAlignment="0" applyProtection="0">
      <alignment vertical="center"/>
    </xf>
    <xf numFmtId="0" fontId="38" fillId="53" borderId="0" applyNumberFormat="0" applyBorder="0" applyAlignment="0" applyProtection="0">
      <alignment vertical="center"/>
    </xf>
    <xf numFmtId="0" fontId="51" fillId="0" borderId="29" applyNumberFormat="0" applyFill="0" applyAlignment="0" applyProtection="0">
      <alignment vertical="center"/>
    </xf>
    <xf numFmtId="0" fontId="48" fillId="0" borderId="27" applyNumberFormat="0" applyFill="0" applyAlignment="0" applyProtection="0">
      <alignment vertical="center"/>
    </xf>
    <xf numFmtId="0" fontId="52" fillId="49" borderId="0" applyNumberFormat="0" applyBorder="0" applyAlignment="0" applyProtection="0">
      <alignment vertical="center"/>
    </xf>
    <xf numFmtId="0" fontId="39" fillId="25" borderId="0" applyNumberFormat="0" applyBorder="0" applyAlignment="0" applyProtection="0">
      <alignment vertical="center"/>
    </xf>
    <xf numFmtId="0" fontId="42" fillId="32" borderId="0" applyNumberFormat="0" applyBorder="0" applyAlignment="0" applyProtection="0">
      <alignment vertical="center"/>
    </xf>
    <xf numFmtId="0" fontId="38" fillId="31" borderId="0" applyNumberFormat="0" applyBorder="0" applyAlignment="0" applyProtection="0">
      <alignment vertical="center"/>
    </xf>
    <xf numFmtId="0" fontId="42" fillId="38" borderId="0" applyNumberFormat="0" applyBorder="0" applyAlignment="0" applyProtection="0">
      <alignment vertical="center"/>
    </xf>
    <xf numFmtId="0" fontId="42" fillId="44" borderId="0" applyNumberFormat="0" applyBorder="0" applyAlignment="0" applyProtection="0">
      <alignment vertical="center"/>
    </xf>
    <xf numFmtId="0" fontId="42" fillId="43" borderId="0" applyNumberFormat="0" applyBorder="0" applyAlignment="0" applyProtection="0">
      <alignment vertical="center"/>
    </xf>
    <xf numFmtId="0" fontId="42" fillId="37" borderId="0" applyNumberFormat="0" applyBorder="0" applyAlignment="0" applyProtection="0">
      <alignment vertical="center"/>
    </xf>
    <xf numFmtId="0" fontId="38" fillId="48" borderId="0" applyNumberFormat="0" applyBorder="0" applyAlignment="0" applyProtection="0">
      <alignment vertical="center"/>
    </xf>
    <xf numFmtId="0" fontId="38" fillId="52" borderId="0" applyNumberFormat="0" applyBorder="0" applyAlignment="0" applyProtection="0">
      <alignment vertical="center"/>
    </xf>
    <xf numFmtId="0" fontId="42" fillId="30" borderId="0" applyNumberFormat="0" applyBorder="0" applyAlignment="0" applyProtection="0">
      <alignment vertical="center"/>
    </xf>
    <xf numFmtId="0" fontId="42" fillId="47" borderId="0" applyNumberFormat="0" applyBorder="0" applyAlignment="0" applyProtection="0">
      <alignment vertical="center"/>
    </xf>
    <xf numFmtId="0" fontId="38" fillId="24" borderId="0" applyNumberFormat="0" applyBorder="0" applyAlignment="0" applyProtection="0">
      <alignment vertical="center"/>
    </xf>
    <xf numFmtId="0" fontId="42" fillId="36" borderId="0" applyNumberFormat="0" applyBorder="0" applyAlignment="0" applyProtection="0">
      <alignment vertical="center"/>
    </xf>
    <xf numFmtId="0" fontId="38" fillId="40" borderId="0" applyNumberFormat="0" applyBorder="0" applyAlignment="0" applyProtection="0">
      <alignment vertical="center"/>
    </xf>
    <xf numFmtId="0" fontId="38" fillId="35" borderId="0" applyNumberFormat="0" applyBorder="0" applyAlignment="0" applyProtection="0">
      <alignment vertical="center"/>
    </xf>
    <xf numFmtId="0" fontId="11" fillId="0" borderId="0">
      <alignment vertical="center"/>
    </xf>
    <xf numFmtId="0" fontId="42" fillId="46" borderId="0" applyNumberFormat="0" applyBorder="0" applyAlignment="0" applyProtection="0">
      <alignment vertical="center"/>
    </xf>
    <xf numFmtId="0" fontId="38" fillId="42" borderId="0" applyNumberFormat="0" applyBorder="0" applyAlignment="0" applyProtection="0">
      <alignment vertical="center"/>
    </xf>
    <xf numFmtId="0" fontId="41" fillId="0" borderId="0"/>
  </cellStyleXfs>
  <cellXfs count="407">
    <xf numFmtId="0" fontId="0" fillId="0" borderId="0" xfId="0">
      <alignment vertical="center"/>
    </xf>
    <xf numFmtId="0" fontId="0" fillId="0" borderId="0" xfId="0" applyAlignment="1">
      <alignment horizontal="center" vertical="center"/>
    </xf>
    <xf numFmtId="0" fontId="1" fillId="0" borderId="0" xfId="0" applyFont="1" applyBorder="1" applyAlignment="1">
      <alignment horizontal="center" vertical="center"/>
    </xf>
    <xf numFmtId="0" fontId="0" fillId="2" borderId="0" xfId="0" applyFill="1" applyAlignment="1">
      <alignment horizontal="center" vertical="center"/>
    </xf>
    <xf numFmtId="0" fontId="0" fillId="2" borderId="1" xfId="0" applyFill="1" applyBorder="1" applyAlignment="1">
      <alignment horizontal="center" vertical="center" wrapText="1"/>
    </xf>
    <xf numFmtId="180" fontId="0" fillId="0" borderId="0" xfId="0" applyNumberFormat="1" applyBorder="1" applyAlignment="1">
      <alignment horizontal="center" vertical="center"/>
    </xf>
    <xf numFmtId="0" fontId="0" fillId="2" borderId="0" xfId="0" applyFill="1" applyBorder="1" applyAlignment="1">
      <alignment horizontal="center" vertical="center"/>
    </xf>
    <xf numFmtId="0" fontId="0" fillId="0" borderId="0" xfId="0" applyBorder="1" applyAlignment="1">
      <alignment horizontal="center" vertical="center"/>
    </xf>
    <xf numFmtId="0" fontId="0" fillId="0" borderId="1" xfId="0" applyBorder="1" applyAlignment="1">
      <alignment horizontal="center" vertical="center"/>
    </xf>
    <xf numFmtId="10" fontId="0" fillId="0" borderId="1" xfId="0" applyNumberFormat="1" applyBorder="1" applyAlignment="1">
      <alignment horizontal="center" vertical="center"/>
    </xf>
    <xf numFmtId="9" fontId="0" fillId="0" borderId="1" xfId="0" applyNumberFormat="1" applyBorder="1" applyAlignment="1">
      <alignment horizontal="center" vertical="center"/>
    </xf>
    <xf numFmtId="0" fontId="0" fillId="2" borderId="1" xfId="0" applyFill="1" applyBorder="1" applyAlignment="1">
      <alignment horizontal="center" vertical="center"/>
    </xf>
    <xf numFmtId="9" fontId="0" fillId="2" borderId="1" xfId="0" applyNumberFormat="1" applyFill="1" applyBorder="1" applyAlignment="1">
      <alignment horizontal="center" vertical="center"/>
    </xf>
    <xf numFmtId="10" fontId="0" fillId="2" borderId="1" xfId="0" applyNumberFormat="1" applyFill="1" applyBorder="1" applyAlignment="1">
      <alignment horizontal="center" vertical="center"/>
    </xf>
    <xf numFmtId="9" fontId="0" fillId="0" borderId="0" xfId="0" applyNumberFormat="1" applyBorder="1" applyAlignment="1">
      <alignment horizontal="center" vertical="center"/>
    </xf>
    <xf numFmtId="10" fontId="0" fillId="0" borderId="0" xfId="0" applyNumberFormat="1" applyBorder="1" applyAlignment="1">
      <alignment horizontal="center" vertical="center"/>
    </xf>
    <xf numFmtId="0" fontId="0" fillId="2" borderId="2" xfId="0" applyFill="1" applyBorder="1" applyAlignment="1">
      <alignment horizontal="center" vertical="center"/>
    </xf>
    <xf numFmtId="10" fontId="0" fillId="2" borderId="0" xfId="0" applyNumberFormat="1" applyFill="1" applyBorder="1" applyAlignment="1">
      <alignment horizontal="center" vertical="center"/>
    </xf>
    <xf numFmtId="178" fontId="0" fillId="0" borderId="1" xfId="0" applyNumberFormat="1" applyBorder="1" applyAlignment="1">
      <alignment horizontal="center" vertical="center"/>
    </xf>
    <xf numFmtId="184" fontId="0" fillId="0" borderId="1" xfId="0" applyNumberFormat="1" applyBorder="1" applyAlignment="1">
      <alignment horizontal="center" vertical="center"/>
    </xf>
    <xf numFmtId="0" fontId="0" fillId="0" borderId="1" xfId="0" applyFill="1" applyBorder="1" applyAlignment="1">
      <alignment horizontal="center" vertical="center"/>
    </xf>
    <xf numFmtId="9" fontId="2" fillId="0" borderId="1" xfId="0" applyNumberFormat="1" applyFont="1" applyBorder="1" applyAlignment="1">
      <alignment horizontal="center" vertical="center"/>
    </xf>
    <xf numFmtId="184" fontId="0" fillId="2" borderId="1" xfId="0" applyNumberFormat="1" applyFill="1" applyBorder="1" applyAlignment="1">
      <alignment horizontal="center" vertical="center"/>
    </xf>
    <xf numFmtId="9" fontId="0" fillId="0" borderId="0" xfId="0" applyNumberFormat="1" applyAlignment="1">
      <alignment horizontal="center" vertical="center"/>
    </xf>
    <xf numFmtId="180" fontId="0" fillId="0" borderId="1" xfId="0" applyNumberFormat="1" applyBorder="1" applyAlignment="1">
      <alignment horizontal="center" vertical="center"/>
    </xf>
    <xf numFmtId="180" fontId="0" fillId="2" borderId="1" xfId="0" applyNumberFormat="1" applyFill="1" applyBorder="1" applyAlignment="1">
      <alignment horizontal="center" vertical="center"/>
    </xf>
    <xf numFmtId="0" fontId="0" fillId="0" borderId="3" xfId="0" applyBorder="1" applyAlignment="1">
      <alignment horizontal="center" vertical="center"/>
    </xf>
    <xf numFmtId="0" fontId="0" fillId="0" borderId="0" xfId="0" applyBorder="1">
      <alignment vertical="center"/>
    </xf>
    <xf numFmtId="0" fontId="0" fillId="0" borderId="0" xfId="0" applyFill="1" applyBorder="1" applyAlignment="1">
      <alignment horizontal="center" vertical="center"/>
    </xf>
    <xf numFmtId="9" fontId="1" fillId="0" borderId="0" xfId="0" applyNumberFormat="1" applyFont="1" applyBorder="1" applyAlignment="1">
      <alignment horizontal="center" vertical="center"/>
    </xf>
    <xf numFmtId="10" fontId="1" fillId="0" borderId="0" xfId="0" applyNumberFormat="1" applyFont="1" applyBorder="1" applyAlignment="1">
      <alignment horizontal="center" vertical="center"/>
    </xf>
    <xf numFmtId="0" fontId="0" fillId="2" borderId="3" xfId="0" applyFill="1" applyBorder="1" applyAlignment="1">
      <alignment horizontal="center" vertical="center"/>
    </xf>
    <xf numFmtId="10" fontId="1" fillId="0" borderId="0" xfId="0" applyNumberFormat="1" applyFont="1" applyFill="1" applyBorder="1" applyAlignment="1">
      <alignment horizontal="center" vertical="center"/>
    </xf>
    <xf numFmtId="178" fontId="0" fillId="0" borderId="3" xfId="0" applyNumberFormat="1" applyBorder="1" applyAlignment="1">
      <alignment horizontal="center" vertical="center"/>
    </xf>
    <xf numFmtId="184" fontId="0" fillId="0" borderId="3" xfId="0" applyNumberFormat="1" applyBorder="1" applyAlignment="1">
      <alignment horizontal="center" vertical="center"/>
    </xf>
    <xf numFmtId="184" fontId="0" fillId="2" borderId="3" xfId="0" applyNumberFormat="1" applyFill="1" applyBorder="1" applyAlignment="1">
      <alignment horizontal="center" vertical="center"/>
    </xf>
    <xf numFmtId="0" fontId="0" fillId="0" borderId="0" xfId="0" applyFill="1" applyAlignment="1">
      <alignment horizontal="center" vertical="center"/>
    </xf>
    <xf numFmtId="0" fontId="1" fillId="0" borderId="0" xfId="0" applyFont="1" applyFill="1" applyBorder="1" applyAlignment="1">
      <alignment horizontal="center" vertical="center"/>
    </xf>
    <xf numFmtId="0" fontId="0" fillId="0" borderId="0" xfId="0" applyFill="1" applyBorder="1">
      <alignment vertical="center"/>
    </xf>
    <xf numFmtId="180" fontId="0" fillId="0" borderId="3" xfId="0" applyNumberFormat="1" applyBorder="1" applyAlignment="1">
      <alignment horizontal="center" vertical="center"/>
    </xf>
    <xf numFmtId="180" fontId="0" fillId="2" borderId="3" xfId="0" applyNumberFormat="1" applyFill="1" applyBorder="1" applyAlignment="1">
      <alignment horizontal="center" vertical="center"/>
    </xf>
    <xf numFmtId="178" fontId="0" fillId="2" borderId="1" xfId="0" applyNumberFormat="1" applyFill="1" applyBorder="1" applyAlignment="1">
      <alignment horizontal="center" vertical="center"/>
    </xf>
    <xf numFmtId="10" fontId="0" fillId="0" borderId="0" xfId="0" applyNumberFormat="1" applyAlignment="1">
      <alignment horizontal="center" vertical="center"/>
    </xf>
    <xf numFmtId="178" fontId="0" fillId="2" borderId="3" xfId="0" applyNumberFormat="1" applyFill="1" applyBorder="1" applyAlignment="1">
      <alignment horizontal="center" vertical="center"/>
    </xf>
    <xf numFmtId="0" fontId="3" fillId="0" borderId="0" xfId="0" applyFont="1" applyBorder="1" applyAlignment="1">
      <alignment horizontal="center" vertical="center" wrapText="1"/>
    </xf>
    <xf numFmtId="0" fontId="3" fillId="0" borderId="0" xfId="0" applyFont="1" applyFill="1" applyBorder="1" applyAlignment="1">
      <alignment horizontal="center" vertical="center" wrapText="1"/>
    </xf>
    <xf numFmtId="0" fontId="4" fillId="0" borderId="0" xfId="0" applyFont="1" applyBorder="1" applyAlignment="1">
      <alignment horizontal="center" vertical="center" wrapText="1"/>
    </xf>
    <xf numFmtId="181" fontId="3" fillId="0" borderId="0" xfId="0" applyNumberFormat="1" applyFont="1" applyFill="1" applyBorder="1" applyAlignment="1">
      <alignment horizontal="center" vertical="center" wrapText="1"/>
    </xf>
    <xf numFmtId="0" fontId="4" fillId="0" borderId="0" xfId="0" applyFont="1" applyFill="1" applyBorder="1" applyAlignment="1">
      <alignment horizontal="center" vertical="center" wrapText="1"/>
    </xf>
    <xf numFmtId="0" fontId="5" fillId="0" borderId="1" xfId="0" applyFont="1" applyBorder="1" applyAlignment="1">
      <alignment horizontal="center" vertical="center" wrapText="1"/>
    </xf>
    <xf numFmtId="0" fontId="5" fillId="0" borderId="1" xfId="0" applyFont="1" applyFill="1" applyBorder="1" applyAlignment="1">
      <alignment horizontal="center" vertical="center" wrapText="1"/>
    </xf>
    <xf numFmtId="0" fontId="5" fillId="0" borderId="2" xfId="0" applyFont="1" applyFill="1" applyBorder="1" applyAlignment="1">
      <alignment horizontal="center" vertical="center" wrapText="1"/>
    </xf>
    <xf numFmtId="0" fontId="3" fillId="0" borderId="1" xfId="0" applyFont="1" applyBorder="1" applyAlignment="1">
      <alignment horizontal="center" vertical="center" wrapText="1"/>
    </xf>
    <xf numFmtId="181" fontId="5" fillId="0" borderId="1" xfId="0" applyNumberFormat="1" applyFont="1" applyFill="1" applyBorder="1" applyAlignment="1">
      <alignment horizontal="center" vertical="center" wrapText="1"/>
    </xf>
    <xf numFmtId="0" fontId="5" fillId="0" borderId="4" xfId="0" applyFont="1" applyFill="1" applyBorder="1" applyAlignment="1">
      <alignment horizontal="center" vertical="center" wrapText="1"/>
    </xf>
    <xf numFmtId="0" fontId="6" fillId="0" borderId="2" xfId="0" applyFont="1" applyBorder="1" applyAlignment="1">
      <alignment horizontal="center" vertical="center" wrapText="1"/>
    </xf>
    <xf numFmtId="0" fontId="4" fillId="0" borderId="1" xfId="0" applyFont="1" applyFill="1" applyBorder="1" applyAlignment="1">
      <alignment horizontal="center" vertical="center" wrapText="1"/>
    </xf>
    <xf numFmtId="0" fontId="3" fillId="0" borderId="1" xfId="0" applyFont="1" applyFill="1" applyBorder="1" applyAlignment="1">
      <alignment horizontal="center" vertical="center" wrapText="1"/>
    </xf>
    <xf numFmtId="181" fontId="3" fillId="0" borderId="1" xfId="0" applyNumberFormat="1" applyFont="1" applyFill="1" applyBorder="1" applyAlignment="1">
      <alignment horizontal="center" vertical="center" wrapText="1"/>
    </xf>
    <xf numFmtId="0" fontId="7" fillId="0" borderId="1" xfId="0" applyFont="1" applyFill="1" applyBorder="1" applyAlignment="1">
      <alignment horizontal="center" vertical="center" wrapText="1"/>
    </xf>
    <xf numFmtId="181" fontId="7" fillId="0" borderId="1" xfId="0" applyNumberFormat="1" applyFont="1" applyFill="1" applyBorder="1" applyAlignment="1">
      <alignment horizontal="center" vertical="center" wrapText="1"/>
    </xf>
    <xf numFmtId="0" fontId="8" fillId="0" borderId="2" xfId="0" applyFont="1" applyBorder="1" applyAlignment="1">
      <alignment horizontal="center" vertical="center" wrapText="1"/>
    </xf>
    <xf numFmtId="0" fontId="3" fillId="0" borderId="2" xfId="0" applyFont="1" applyFill="1" applyBorder="1" applyAlignment="1">
      <alignment horizontal="center" vertical="center" wrapText="1"/>
    </xf>
    <xf numFmtId="0" fontId="3" fillId="3" borderId="1" xfId="0" applyFont="1" applyFill="1" applyBorder="1" applyAlignment="1">
      <alignment horizontal="center" vertical="center" wrapText="1"/>
    </xf>
    <xf numFmtId="0" fontId="4" fillId="0" borderId="1" xfId="0" applyFont="1" applyBorder="1" applyAlignment="1">
      <alignment horizontal="center" vertical="center" wrapText="1"/>
    </xf>
    <xf numFmtId="0" fontId="4" fillId="3" borderId="1" xfId="0" applyFont="1" applyFill="1" applyBorder="1" applyAlignment="1">
      <alignment horizontal="center" vertical="center" wrapText="1"/>
    </xf>
    <xf numFmtId="0" fontId="4" fillId="0" borderId="1" xfId="0" applyFont="1" applyFill="1" applyBorder="1" applyAlignment="1">
      <alignment horizontal="center" vertical="center"/>
    </xf>
    <xf numFmtId="0" fontId="3" fillId="4" borderId="1" xfId="0" applyFont="1" applyFill="1" applyBorder="1" applyAlignment="1">
      <alignment horizontal="center" vertical="center" wrapText="1"/>
    </xf>
    <xf numFmtId="0" fontId="7"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vertical="center" wrapText="1"/>
    </xf>
    <xf numFmtId="0" fontId="10" fillId="0" borderId="1" xfId="0" applyFont="1" applyFill="1" applyBorder="1" applyAlignment="1">
      <alignment horizontal="center" vertical="center" wrapText="1"/>
    </xf>
    <xf numFmtId="0" fontId="0" fillId="0" borderId="1" xfId="0" applyFill="1" applyBorder="1">
      <alignment vertical="center"/>
    </xf>
    <xf numFmtId="0" fontId="0" fillId="0" borderId="1" xfId="0" applyBorder="1">
      <alignment vertical="center"/>
    </xf>
    <xf numFmtId="9" fontId="0" fillId="0" borderId="1" xfId="0" applyNumberFormat="1" applyBorder="1">
      <alignment vertical="center"/>
    </xf>
    <xf numFmtId="0" fontId="7" fillId="3" borderId="1" xfId="0" applyFont="1" applyFill="1" applyBorder="1" applyAlignment="1">
      <alignment horizontal="center" vertical="center" wrapText="1"/>
    </xf>
    <xf numFmtId="0" fontId="3" fillId="5" borderId="1" xfId="0" applyFont="1" applyFill="1" applyBorder="1" applyAlignment="1">
      <alignment horizontal="center" vertical="center" wrapText="1"/>
    </xf>
    <xf numFmtId="0" fontId="4" fillId="5" borderId="1" xfId="0" applyFont="1" applyFill="1" applyBorder="1" applyAlignment="1">
      <alignment horizontal="center" vertical="center" wrapText="1"/>
    </xf>
    <xf numFmtId="0" fontId="7" fillId="5" borderId="1" xfId="0" applyFont="1" applyFill="1" applyBorder="1" applyAlignment="1">
      <alignment horizontal="center" vertical="center" wrapText="1"/>
    </xf>
    <xf numFmtId="0" fontId="4" fillId="0" borderId="1" xfId="49" applyFont="1" applyFill="1" applyBorder="1" applyAlignment="1">
      <alignment horizontal="center" vertical="center" wrapText="1"/>
    </xf>
    <xf numFmtId="0" fontId="0" fillId="5" borderId="1" xfId="0" applyFill="1" applyBorder="1">
      <alignment vertical="center"/>
    </xf>
    <xf numFmtId="181" fontId="11" fillId="0" borderId="1" xfId="46" applyNumberFormat="1" applyFont="1" applyFill="1" applyBorder="1" applyAlignment="1">
      <alignment horizontal="center" vertical="center" wrapText="1"/>
    </xf>
    <xf numFmtId="0" fontId="7" fillId="0" borderId="1" xfId="49" applyFont="1" applyFill="1" applyBorder="1" applyAlignment="1">
      <alignment horizontal="center" vertical="center" wrapText="1"/>
    </xf>
    <xf numFmtId="0" fontId="3" fillId="0" borderId="1" xfId="0" applyNumberFormat="1" applyFont="1" applyFill="1" applyBorder="1" applyAlignment="1">
      <alignment horizontal="center" vertical="center" wrapText="1"/>
    </xf>
    <xf numFmtId="0" fontId="3" fillId="0" borderId="5" xfId="0" applyFont="1" applyFill="1" applyBorder="1" applyAlignment="1">
      <alignment horizontal="center" vertical="center" wrapText="1"/>
    </xf>
    <xf numFmtId="0" fontId="12" fillId="0" borderId="1" xfId="0" applyFont="1" applyFill="1" applyBorder="1" applyAlignment="1">
      <alignment horizontal="center" vertical="center"/>
    </xf>
    <xf numFmtId="0" fontId="13" fillId="0" borderId="1" xfId="0" applyFont="1" applyFill="1" applyBorder="1" applyAlignment="1">
      <alignment horizontal="center" vertical="center" wrapText="1"/>
    </xf>
    <xf numFmtId="180" fontId="0" fillId="0" borderId="1" xfId="0" applyNumberFormat="1" applyFill="1" applyBorder="1" applyAlignment="1">
      <alignment horizontal="center" vertical="center"/>
    </xf>
    <xf numFmtId="0" fontId="0" fillId="0" borderId="6" xfId="0" applyFill="1" applyBorder="1" applyAlignment="1">
      <alignment horizontal="center" vertical="center"/>
    </xf>
    <xf numFmtId="0" fontId="0" fillId="0" borderId="7" xfId="0" applyFill="1" applyBorder="1" applyAlignment="1">
      <alignment horizontal="center" vertical="center"/>
    </xf>
    <xf numFmtId="180" fontId="0" fillId="0" borderId="7" xfId="0" applyNumberFormat="1" applyFill="1" applyBorder="1" applyAlignment="1">
      <alignment horizontal="center" vertical="center"/>
    </xf>
    <xf numFmtId="0" fontId="0" fillId="0" borderId="8" xfId="0" applyFill="1" applyBorder="1" applyAlignment="1">
      <alignment horizontal="center" vertical="center"/>
    </xf>
    <xf numFmtId="0" fontId="0" fillId="0" borderId="9" xfId="0" applyFill="1" applyBorder="1" applyAlignment="1">
      <alignment horizontal="center" vertical="center"/>
    </xf>
    <xf numFmtId="180" fontId="0" fillId="0" borderId="9" xfId="0" applyNumberFormat="1" applyFill="1" applyBorder="1" applyAlignment="1">
      <alignment horizontal="center" vertical="center"/>
    </xf>
    <xf numFmtId="180" fontId="0" fillId="0" borderId="0" xfId="0" applyNumberFormat="1" applyFill="1" applyBorder="1" applyAlignment="1">
      <alignment horizontal="center" vertical="center"/>
    </xf>
    <xf numFmtId="0" fontId="14" fillId="0" borderId="1" xfId="0" applyFont="1" applyFill="1" applyBorder="1" applyAlignment="1">
      <alignment horizontal="center"/>
    </xf>
    <xf numFmtId="0" fontId="0" fillId="0" borderId="1" xfId="0" applyFill="1" applyBorder="1" applyAlignment="1">
      <alignment horizontal="center"/>
    </xf>
    <xf numFmtId="177" fontId="0" fillId="0" borderId="1" xfId="0" applyNumberFormat="1" applyFill="1" applyBorder="1" applyAlignment="1">
      <alignment horizontal="center"/>
    </xf>
    <xf numFmtId="187" fontId="0" fillId="0" borderId="1" xfId="0" applyNumberFormat="1" applyFill="1" applyBorder="1" applyAlignment="1">
      <alignment horizontal="center"/>
    </xf>
    <xf numFmtId="0" fontId="14" fillId="2" borderId="1" xfId="0" applyFont="1" applyFill="1" applyBorder="1" applyAlignment="1"/>
    <xf numFmtId="183" fontId="0" fillId="0" borderId="1" xfId="0" applyNumberFormat="1" applyFill="1" applyBorder="1" applyAlignment="1">
      <alignment horizontal="center"/>
    </xf>
    <xf numFmtId="180" fontId="0" fillId="0" borderId="1" xfId="0" applyNumberFormat="1" applyFill="1" applyBorder="1" applyAlignment="1">
      <alignment horizontal="center"/>
    </xf>
    <xf numFmtId="180" fontId="0" fillId="0" borderId="10" xfId="0" applyNumberFormat="1" applyFill="1" applyBorder="1" applyAlignment="1">
      <alignment horizontal="center" vertical="center"/>
    </xf>
    <xf numFmtId="180" fontId="0" fillId="0" borderId="0" xfId="0" applyNumberFormat="1" applyFill="1" applyAlignment="1">
      <alignment horizontal="center" vertical="center"/>
    </xf>
    <xf numFmtId="180" fontId="0" fillId="0" borderId="11" xfId="0" applyNumberFormat="1" applyFill="1" applyBorder="1" applyAlignment="1">
      <alignment horizontal="center" vertical="center"/>
    </xf>
    <xf numFmtId="0" fontId="14" fillId="0" borderId="0" xfId="0" applyFont="1" applyFill="1" applyBorder="1" applyAlignment="1">
      <alignment horizontal="center"/>
    </xf>
    <xf numFmtId="184" fontId="0" fillId="0" borderId="0" xfId="0" applyNumberFormat="1" applyAlignment="1">
      <alignment horizontal="center" vertical="center"/>
    </xf>
    <xf numFmtId="187" fontId="0" fillId="0" borderId="1" xfId="0" applyNumberFormat="1" applyBorder="1" applyAlignment="1">
      <alignment horizontal="center" vertical="center"/>
    </xf>
    <xf numFmtId="0" fontId="15" fillId="0" borderId="1" xfId="0" applyFont="1" applyBorder="1" applyAlignment="1">
      <alignment horizontal="center" vertical="center"/>
    </xf>
    <xf numFmtId="10" fontId="0" fillId="0" borderId="1" xfId="10" applyNumberFormat="1" applyFont="1" applyBorder="1" applyAlignment="1">
      <alignment horizontal="center" vertical="center"/>
    </xf>
    <xf numFmtId="190" fontId="0" fillId="2" borderId="1" xfId="0" applyNumberFormat="1" applyFill="1" applyBorder="1" applyAlignment="1">
      <alignment horizontal="center" vertical="center"/>
    </xf>
    <xf numFmtId="10" fontId="0" fillId="6" borderId="0" xfId="10" applyNumberFormat="1" applyFont="1" applyFill="1" applyAlignment="1">
      <alignment horizontal="center" vertical="center"/>
    </xf>
    <xf numFmtId="190" fontId="0" fillId="2" borderId="1" xfId="10" applyNumberFormat="1" applyFont="1" applyFill="1" applyBorder="1" applyAlignment="1">
      <alignment horizontal="center" vertical="center"/>
    </xf>
    <xf numFmtId="0" fontId="0" fillId="4" borderId="1" xfId="0" applyFill="1" applyBorder="1" applyAlignment="1">
      <alignment horizontal="center" vertical="center"/>
    </xf>
    <xf numFmtId="187" fontId="0" fillId="4" borderId="1" xfId="0" applyNumberFormat="1" applyFill="1" applyBorder="1" applyAlignment="1">
      <alignment horizontal="center" vertical="center"/>
    </xf>
    <xf numFmtId="180" fontId="0" fillId="4" borderId="1" xfId="0" applyNumberFormat="1" applyFill="1" applyBorder="1" applyAlignment="1">
      <alignment horizontal="center" vertical="center"/>
    </xf>
    <xf numFmtId="184" fontId="0" fillId="4" borderId="1" xfId="0" applyNumberFormat="1" applyFill="1" applyBorder="1" applyAlignment="1">
      <alignment horizontal="center" vertical="center"/>
    </xf>
    <xf numFmtId="187" fontId="0" fillId="0" borderId="1" xfId="0" applyNumberFormat="1" applyFill="1" applyBorder="1" applyAlignment="1">
      <alignment horizontal="center" vertical="center"/>
    </xf>
    <xf numFmtId="0" fontId="0" fillId="0" borderId="1" xfId="0" applyNumberFormat="1" applyBorder="1" applyAlignment="1">
      <alignment horizontal="center" vertical="center"/>
    </xf>
    <xf numFmtId="184" fontId="0" fillId="0" borderId="0" xfId="0" applyNumberFormat="1" applyBorder="1" applyAlignment="1">
      <alignment horizontal="center" vertical="center"/>
    </xf>
    <xf numFmtId="187" fontId="0" fillId="0" borderId="0" xfId="0" applyNumberFormat="1" applyBorder="1" applyAlignment="1">
      <alignment horizontal="center" vertical="center"/>
    </xf>
    <xf numFmtId="0" fontId="0" fillId="0" borderId="0" xfId="0" applyBorder="1" applyAlignment="1">
      <alignment vertical="center"/>
    </xf>
    <xf numFmtId="0" fontId="12" fillId="7" borderId="1" xfId="0" applyFont="1" applyFill="1" applyBorder="1" applyAlignment="1">
      <alignment horizontal="center" vertical="center"/>
    </xf>
    <xf numFmtId="184" fontId="12" fillId="7" borderId="1" xfId="0" applyNumberFormat="1" applyFont="1" applyFill="1" applyBorder="1" applyAlignment="1">
      <alignment horizontal="center" vertical="center"/>
    </xf>
    <xf numFmtId="0" fontId="13" fillId="7" borderId="1" xfId="0" applyFont="1" applyFill="1" applyBorder="1" applyAlignment="1">
      <alignment horizontal="center" vertical="center" wrapText="1"/>
    </xf>
    <xf numFmtId="184" fontId="13" fillId="7" borderId="1" xfId="0" applyNumberFormat="1" applyFont="1" applyFill="1" applyBorder="1" applyAlignment="1">
      <alignment horizontal="center" vertical="center" wrapText="1"/>
    </xf>
    <xf numFmtId="0" fontId="0" fillId="2" borderId="1" xfId="0" applyFill="1" applyBorder="1" applyAlignment="1"/>
    <xf numFmtId="177" fontId="0" fillId="2" borderId="1" xfId="0" applyNumberFormat="1" applyFill="1" applyBorder="1" applyAlignment="1"/>
    <xf numFmtId="184" fontId="0" fillId="0" borderId="1" xfId="0" applyNumberFormat="1" applyFill="1" applyBorder="1" applyAlignment="1">
      <alignment horizontal="center" vertical="center"/>
    </xf>
    <xf numFmtId="187" fontId="0" fillId="0" borderId="0" xfId="0" applyNumberFormat="1" applyAlignment="1">
      <alignment horizontal="center" vertical="center"/>
    </xf>
    <xf numFmtId="187" fontId="0" fillId="2" borderId="1" xfId="0" applyNumberFormat="1" applyFill="1" applyBorder="1" applyAlignment="1"/>
    <xf numFmtId="182" fontId="0" fillId="0" borderId="1" xfId="0" applyNumberFormat="1" applyBorder="1" applyAlignment="1">
      <alignment horizontal="center" vertical="center"/>
    </xf>
    <xf numFmtId="0" fontId="0" fillId="0" borderId="0" xfId="0" applyNumberFormat="1" applyAlignment="1">
      <alignment horizontal="center" vertical="center"/>
    </xf>
    <xf numFmtId="187" fontId="0" fillId="8" borderId="1" xfId="0" applyNumberFormat="1" applyFill="1" applyBorder="1" applyAlignment="1">
      <alignment horizontal="center" vertical="center"/>
    </xf>
    <xf numFmtId="183" fontId="0" fillId="2" borderId="1" xfId="0" applyNumberFormat="1" applyFill="1" applyBorder="1" applyAlignment="1"/>
    <xf numFmtId="0" fontId="0" fillId="2" borderId="0" xfId="0" applyFill="1" applyAlignment="1"/>
    <xf numFmtId="0" fontId="0" fillId="0" borderId="0" xfId="0" applyFill="1" applyBorder="1" applyAlignment="1"/>
    <xf numFmtId="187" fontId="0" fillId="0" borderId="0" xfId="0" applyNumberFormat="1" applyFill="1" applyBorder="1" applyAlignment="1"/>
    <xf numFmtId="0" fontId="14" fillId="0" borderId="0" xfId="0" applyFont="1" applyFill="1" applyBorder="1" applyAlignment="1"/>
    <xf numFmtId="183" fontId="0" fillId="0" borderId="0" xfId="0" applyNumberFormat="1" applyFill="1" applyBorder="1" applyAlignment="1"/>
    <xf numFmtId="0" fontId="0" fillId="0" borderId="0" xfId="0" applyBorder="1" applyAlignment="1" applyProtection="1">
      <alignment horizontal="center" vertical="center"/>
      <protection locked="0"/>
    </xf>
    <xf numFmtId="0" fontId="16" fillId="0" borderId="0" xfId="0" applyFont="1" applyBorder="1" applyAlignment="1" applyProtection="1">
      <alignment horizontal="center" vertical="center"/>
      <protection locked="0"/>
    </xf>
    <xf numFmtId="0" fontId="0" fillId="0" borderId="0" xfId="0" applyBorder="1" applyAlignment="1" applyProtection="1">
      <alignment horizontal="center" vertical="center" shrinkToFit="1"/>
      <protection locked="0"/>
    </xf>
    <xf numFmtId="0" fontId="0" fillId="2" borderId="0" xfId="0" applyFill="1" applyAlignment="1">
      <alignment vertical="center"/>
    </xf>
    <xf numFmtId="0" fontId="0" fillId="0" borderId="0" xfId="0" applyNumberFormat="1" applyAlignment="1">
      <alignment vertical="center"/>
    </xf>
    <xf numFmtId="0" fontId="0" fillId="0" borderId="0" xfId="0" applyAlignment="1">
      <alignment vertical="center"/>
    </xf>
    <xf numFmtId="0" fontId="17" fillId="0" borderId="1" xfId="0" applyFont="1" applyBorder="1" applyAlignment="1" applyProtection="1">
      <alignment horizontal="center" vertical="center" wrapText="1"/>
    </xf>
    <xf numFmtId="0" fontId="18" fillId="0" borderId="1" xfId="0" applyFont="1" applyBorder="1" applyAlignment="1" applyProtection="1">
      <alignment horizontal="center" vertical="center" wrapText="1"/>
    </xf>
    <xf numFmtId="0" fontId="19" fillId="0" borderId="1" xfId="0" applyFont="1" applyBorder="1" applyAlignment="1" applyProtection="1">
      <alignment horizontal="center" vertical="center" wrapText="1"/>
    </xf>
    <xf numFmtId="0" fontId="17" fillId="0" borderId="1" xfId="0" applyFont="1" applyBorder="1" applyAlignment="1" applyProtection="1">
      <alignment horizontal="center" vertical="center" shrinkToFit="1"/>
    </xf>
    <xf numFmtId="0" fontId="0" fillId="2" borderId="1" xfId="0" applyFill="1" applyBorder="1" applyAlignment="1">
      <alignment vertical="center"/>
    </xf>
    <xf numFmtId="0" fontId="0" fillId="0" borderId="1" xfId="0" applyBorder="1" applyAlignment="1" applyProtection="1">
      <alignment horizontal="center" vertical="center"/>
    </xf>
    <xf numFmtId="0" fontId="16" fillId="0" borderId="1" xfId="0" applyFont="1" applyBorder="1" applyAlignment="1" applyProtection="1">
      <alignment horizontal="center" vertical="center"/>
    </xf>
    <xf numFmtId="0" fontId="0" fillId="0" borderId="1" xfId="0" applyBorder="1" applyAlignment="1" applyProtection="1">
      <alignment horizontal="center" vertical="center" shrinkToFit="1"/>
    </xf>
    <xf numFmtId="0" fontId="0" fillId="0" borderId="2" xfId="0" applyBorder="1" applyAlignment="1" applyProtection="1">
      <alignment horizontal="center" vertical="center"/>
    </xf>
    <xf numFmtId="0" fontId="0" fillId="0" borderId="5" xfId="0" applyBorder="1" applyAlignment="1" applyProtection="1">
      <alignment horizontal="center" vertical="center"/>
    </xf>
    <xf numFmtId="0" fontId="0" fillId="0" borderId="4" xfId="0" applyBorder="1" applyAlignment="1" applyProtection="1">
      <alignment horizontal="center" vertical="center"/>
    </xf>
    <xf numFmtId="0" fontId="16" fillId="0" borderId="1" xfId="0" applyFont="1" applyBorder="1" applyAlignment="1" applyProtection="1">
      <alignment horizontal="center" vertical="center" textRotation="255"/>
    </xf>
    <xf numFmtId="0" fontId="16" fillId="0" borderId="1" xfId="0" applyFont="1" applyBorder="1" applyAlignment="1" applyProtection="1">
      <alignment horizontal="center" vertical="center" shrinkToFit="1"/>
    </xf>
    <xf numFmtId="0" fontId="0" fillId="2" borderId="0" xfId="0" applyFill="1" applyBorder="1" applyAlignment="1">
      <alignment vertical="center"/>
    </xf>
    <xf numFmtId="0" fontId="0" fillId="0" borderId="1" xfId="0" applyNumberFormat="1" applyBorder="1" applyAlignment="1">
      <alignment horizontal="center" vertical="center" wrapText="1"/>
    </xf>
    <xf numFmtId="0" fontId="0" fillId="0" borderId="1" xfId="0" applyNumberFormat="1" applyBorder="1" applyAlignment="1">
      <alignment horizontal="center"/>
    </xf>
    <xf numFmtId="9" fontId="0" fillId="0" borderId="1" xfId="0" applyNumberFormat="1" applyBorder="1" applyAlignment="1">
      <alignment horizontal="center"/>
    </xf>
    <xf numFmtId="0" fontId="0" fillId="0" borderId="0" xfId="0" applyNumberFormat="1" applyBorder="1" applyAlignment="1">
      <alignment horizontal="center"/>
    </xf>
    <xf numFmtId="0" fontId="0" fillId="0" borderId="1" xfId="0" applyFill="1" applyBorder="1" applyAlignment="1" applyProtection="1">
      <alignment horizontal="center" vertical="center"/>
    </xf>
    <xf numFmtId="0" fontId="16" fillId="0" borderId="1" xfId="0" applyFont="1" applyFill="1" applyBorder="1" applyAlignment="1" applyProtection="1">
      <alignment horizontal="center" vertical="center"/>
    </xf>
    <xf numFmtId="0" fontId="0" fillId="0" borderId="1" xfId="0" applyFill="1" applyBorder="1" applyAlignment="1" applyProtection="1">
      <alignment horizontal="center" vertical="center" shrinkToFit="1"/>
    </xf>
    <xf numFmtId="0" fontId="17" fillId="0" borderId="0" xfId="0" applyFont="1" applyBorder="1" applyAlignment="1" applyProtection="1">
      <alignment horizontal="center" vertical="center" wrapText="1"/>
    </xf>
    <xf numFmtId="0" fontId="18" fillId="0" borderId="0" xfId="0" applyFont="1" applyBorder="1" applyAlignment="1" applyProtection="1">
      <alignment horizontal="center" vertical="center" wrapText="1"/>
    </xf>
    <xf numFmtId="0" fontId="19" fillId="0" borderId="0" xfId="0" applyFont="1" applyBorder="1" applyAlignment="1" applyProtection="1">
      <alignment horizontal="center" vertical="center" wrapText="1"/>
    </xf>
    <xf numFmtId="0" fontId="17" fillId="0" borderId="0" xfId="0" applyFont="1" applyBorder="1" applyAlignment="1" applyProtection="1">
      <alignment horizontal="center" vertical="center" shrinkToFit="1"/>
    </xf>
    <xf numFmtId="0" fontId="0" fillId="0" borderId="0" xfId="0" applyBorder="1" applyAlignment="1" applyProtection="1">
      <alignment horizontal="center" vertical="center"/>
    </xf>
    <xf numFmtId="0" fontId="16" fillId="0" borderId="0" xfId="0" applyFont="1" applyBorder="1" applyAlignment="1" applyProtection="1">
      <alignment horizontal="center" vertical="center"/>
    </xf>
    <xf numFmtId="0" fontId="0" fillId="0" borderId="0" xfId="0" applyBorder="1" applyAlignment="1" applyProtection="1">
      <alignment horizontal="center" vertical="center" shrinkToFit="1"/>
    </xf>
    <xf numFmtId="0" fontId="16" fillId="0" borderId="0" xfId="0" applyFont="1" applyBorder="1" applyAlignment="1" applyProtection="1">
      <alignment horizontal="center" vertical="center" textRotation="255"/>
    </xf>
    <xf numFmtId="0" fontId="16" fillId="0" borderId="0" xfId="0" applyFont="1" applyBorder="1" applyAlignment="1" applyProtection="1">
      <alignment horizontal="center" vertical="center" shrinkToFit="1"/>
    </xf>
    <xf numFmtId="0" fontId="0" fillId="0" borderId="0" xfId="0" applyFill="1" applyBorder="1" applyAlignment="1" applyProtection="1">
      <alignment horizontal="center" vertical="center"/>
    </xf>
    <xf numFmtId="0" fontId="16" fillId="0" borderId="0" xfId="0" applyFont="1" applyFill="1" applyBorder="1" applyAlignment="1" applyProtection="1">
      <alignment horizontal="center" vertical="center"/>
    </xf>
    <xf numFmtId="0" fontId="0" fillId="0" borderId="0" xfId="0" applyFill="1" applyBorder="1" applyAlignment="1" applyProtection="1">
      <alignment horizontal="center" vertical="center" shrinkToFit="1"/>
    </xf>
    <xf numFmtId="0" fontId="0" fillId="0" borderId="0" xfId="0" applyAlignment="1">
      <alignment horizontal="left" vertical="center"/>
    </xf>
    <xf numFmtId="0" fontId="20" fillId="9" borderId="3" xfId="0" applyFont="1" applyFill="1" applyBorder="1" applyAlignment="1">
      <alignment horizontal="left" vertical="center"/>
    </xf>
    <xf numFmtId="0" fontId="20" fillId="9" borderId="12" xfId="0" applyFont="1" applyFill="1" applyBorder="1" applyAlignment="1">
      <alignment horizontal="left" vertical="center"/>
    </xf>
    <xf numFmtId="0" fontId="21" fillId="6" borderId="1" xfId="0" applyFont="1" applyFill="1" applyBorder="1" applyAlignment="1">
      <alignment horizontal="left" vertical="center"/>
    </xf>
    <xf numFmtId="0" fontId="22" fillId="10" borderId="3" xfId="0" applyFont="1" applyFill="1" applyBorder="1" applyAlignment="1">
      <alignment horizontal="left" vertical="center" wrapText="1"/>
    </xf>
    <xf numFmtId="0" fontId="22" fillId="10" borderId="12" xfId="0" applyFont="1" applyFill="1" applyBorder="1" applyAlignment="1">
      <alignment horizontal="left" vertical="center" wrapText="1"/>
    </xf>
    <xf numFmtId="0" fontId="21" fillId="0" borderId="1" xfId="0" applyFont="1" applyBorder="1" applyAlignment="1">
      <alignment horizontal="left" vertical="center"/>
    </xf>
    <xf numFmtId="0" fontId="21" fillId="4" borderId="1" xfId="0" applyFont="1" applyFill="1" applyBorder="1" applyAlignment="1">
      <alignment horizontal="left" vertical="center" wrapText="1"/>
    </xf>
    <xf numFmtId="0" fontId="21" fillId="11" borderId="1" xfId="0" applyFont="1" applyFill="1" applyBorder="1" applyAlignment="1">
      <alignment horizontal="left" vertical="center" wrapText="1"/>
    </xf>
    <xf numFmtId="0" fontId="21" fillId="12" borderId="1" xfId="0" applyFont="1" applyFill="1" applyBorder="1" applyAlignment="1">
      <alignment horizontal="left" vertical="center" wrapText="1"/>
    </xf>
    <xf numFmtId="0" fontId="21" fillId="13" borderId="1" xfId="0" applyFont="1" applyFill="1" applyBorder="1" applyAlignment="1">
      <alignment horizontal="left" vertical="center" wrapText="1"/>
    </xf>
    <xf numFmtId="0" fontId="21" fillId="8" borderId="1" xfId="0" applyFont="1" applyFill="1" applyBorder="1" applyAlignment="1">
      <alignment horizontal="left" vertical="center" wrapText="1"/>
    </xf>
    <xf numFmtId="0" fontId="23" fillId="2" borderId="2" xfId="0" applyFont="1" applyFill="1" applyBorder="1" applyAlignment="1">
      <alignment horizontal="left" vertical="center"/>
    </xf>
    <xf numFmtId="0" fontId="23" fillId="0" borderId="1" xfId="0" applyFont="1" applyBorder="1" applyAlignment="1">
      <alignment horizontal="left" vertical="center" wrapText="1"/>
    </xf>
    <xf numFmtId="0" fontId="23" fillId="4" borderId="2" xfId="0" applyFont="1" applyFill="1" applyBorder="1" applyAlignment="1">
      <alignment horizontal="left" vertical="center" wrapText="1"/>
    </xf>
    <xf numFmtId="0" fontId="23" fillId="11" borderId="1" xfId="0" applyFont="1" applyFill="1" applyBorder="1" applyAlignment="1">
      <alignment horizontal="left" vertical="center" wrapText="1"/>
    </xf>
    <xf numFmtId="0" fontId="23" fillId="12" borderId="1" xfId="0" applyFont="1" applyFill="1" applyBorder="1" applyAlignment="1">
      <alignment horizontal="left" vertical="center" wrapText="1"/>
    </xf>
    <xf numFmtId="0" fontId="23" fillId="13" borderId="1" xfId="0" applyFont="1" applyFill="1" applyBorder="1" applyAlignment="1">
      <alignment horizontal="left" vertical="center" wrapText="1"/>
    </xf>
    <xf numFmtId="0" fontId="23" fillId="8" borderId="1" xfId="0" applyFont="1" applyFill="1" applyBorder="1" applyAlignment="1">
      <alignment horizontal="left" vertical="center" wrapText="1"/>
    </xf>
    <xf numFmtId="0" fontId="23" fillId="2" borderId="5" xfId="0" applyFont="1" applyFill="1" applyBorder="1" applyAlignment="1">
      <alignment horizontal="left" vertical="center"/>
    </xf>
    <xf numFmtId="0" fontId="23" fillId="4" borderId="4" xfId="0" applyFont="1" applyFill="1" applyBorder="1" applyAlignment="1">
      <alignment horizontal="left" vertical="center" wrapText="1"/>
    </xf>
    <xf numFmtId="0" fontId="23" fillId="2" borderId="4" xfId="0" applyFont="1" applyFill="1" applyBorder="1" applyAlignment="1">
      <alignment horizontal="left" vertical="center"/>
    </xf>
    <xf numFmtId="0" fontId="23" fillId="0" borderId="1" xfId="0" applyFont="1" applyBorder="1" applyAlignment="1">
      <alignment horizontal="left" vertical="center"/>
    </xf>
    <xf numFmtId="0" fontId="23" fillId="4" borderId="1" xfId="0" applyFont="1" applyFill="1" applyBorder="1" applyAlignment="1">
      <alignment horizontal="left" vertical="center" wrapText="1"/>
    </xf>
    <xf numFmtId="0" fontId="23" fillId="2" borderId="1" xfId="0" applyFont="1" applyFill="1" applyBorder="1" applyAlignment="1">
      <alignment horizontal="left" vertical="center"/>
    </xf>
    <xf numFmtId="0" fontId="23" fillId="0" borderId="3" xfId="0" applyFont="1" applyBorder="1" applyAlignment="1">
      <alignment horizontal="left" vertical="center" wrapText="1"/>
    </xf>
    <xf numFmtId="0" fontId="23" fillId="2" borderId="1" xfId="0" applyFont="1" applyFill="1" applyBorder="1" applyAlignment="1">
      <alignment horizontal="left" vertical="center" wrapText="1"/>
    </xf>
    <xf numFmtId="0" fontId="23" fillId="0" borderId="2" xfId="0" applyFont="1" applyBorder="1" applyAlignment="1">
      <alignment horizontal="left" vertical="center"/>
    </xf>
    <xf numFmtId="0" fontId="23" fillId="0" borderId="13" xfId="0" applyFont="1" applyBorder="1" applyAlignment="1">
      <alignment horizontal="left" vertical="center" wrapText="1"/>
    </xf>
    <xf numFmtId="0" fontId="23" fillId="2" borderId="5" xfId="0" applyFont="1" applyFill="1" applyBorder="1" applyAlignment="1">
      <alignment horizontal="left" vertical="center" wrapText="1"/>
    </xf>
    <xf numFmtId="0" fontId="23" fillId="2" borderId="4" xfId="0" applyFont="1" applyFill="1" applyBorder="1" applyAlignment="1">
      <alignment horizontal="left" vertical="center" wrapText="1"/>
    </xf>
    <xf numFmtId="0" fontId="20" fillId="9" borderId="13" xfId="0" applyFont="1" applyFill="1" applyBorder="1" applyAlignment="1">
      <alignment horizontal="left" vertical="center"/>
    </xf>
    <xf numFmtId="0" fontId="23" fillId="2" borderId="0" xfId="0" applyFont="1" applyFill="1" applyAlignment="1">
      <alignment vertical="center" wrapText="1"/>
    </xf>
    <xf numFmtId="0" fontId="22" fillId="10" borderId="13" xfId="0" applyFont="1" applyFill="1" applyBorder="1" applyAlignment="1">
      <alignment horizontal="left" vertical="center" wrapText="1"/>
    </xf>
    <xf numFmtId="0" fontId="21" fillId="0" borderId="1" xfId="0" applyFont="1" applyBorder="1" applyAlignment="1">
      <alignment horizontal="left" vertical="center" wrapText="1"/>
    </xf>
    <xf numFmtId="0" fontId="23" fillId="0" borderId="2" xfId="0" applyFont="1" applyBorder="1" applyAlignment="1">
      <alignment horizontal="left" vertical="center" wrapText="1"/>
    </xf>
    <xf numFmtId="0" fontId="23" fillId="0" borderId="5" xfId="0" applyFont="1" applyBorder="1" applyAlignment="1">
      <alignment horizontal="left" vertical="center" wrapText="1"/>
    </xf>
    <xf numFmtId="0" fontId="23" fillId="0" borderId="5" xfId="0" applyFont="1" applyBorder="1" applyAlignment="1">
      <alignment horizontal="left" vertical="center"/>
    </xf>
    <xf numFmtId="0" fontId="23" fillId="0" borderId="4" xfId="0" applyFont="1" applyBorder="1" applyAlignment="1">
      <alignment horizontal="left" vertical="center" wrapText="1"/>
    </xf>
    <xf numFmtId="0" fontId="23" fillId="0" borderId="4" xfId="0" applyFont="1" applyBorder="1" applyAlignment="1">
      <alignment horizontal="left" vertical="center"/>
    </xf>
    <xf numFmtId="0" fontId="23" fillId="2" borderId="2" xfId="0" applyFont="1" applyFill="1" applyBorder="1" applyAlignment="1">
      <alignment horizontal="left" vertical="center" wrapText="1"/>
    </xf>
    <xf numFmtId="0" fontId="23" fillId="8" borderId="2" xfId="0" applyFont="1" applyFill="1" applyBorder="1" applyAlignment="1">
      <alignment horizontal="left" vertical="center" wrapText="1"/>
    </xf>
    <xf numFmtId="0" fontId="23" fillId="12" borderId="4" xfId="0" applyFont="1" applyFill="1" applyBorder="1" applyAlignment="1">
      <alignment horizontal="left" vertical="center" wrapText="1"/>
    </xf>
    <xf numFmtId="0" fontId="23" fillId="8" borderId="4" xfId="0" applyFont="1" applyFill="1" applyBorder="1" applyAlignment="1">
      <alignment horizontal="left" vertical="center" wrapText="1"/>
    </xf>
    <xf numFmtId="0" fontId="0" fillId="0" borderId="12" xfId="0" applyBorder="1" applyAlignment="1">
      <alignment horizontal="center" vertical="center"/>
    </xf>
    <xf numFmtId="0" fontId="0" fillId="0" borderId="1" xfId="0" applyBorder="1" applyAlignment="1">
      <alignment horizontal="center" vertical="center" wrapText="1"/>
    </xf>
    <xf numFmtId="0" fontId="24" fillId="0" borderId="14" xfId="0" applyFont="1" applyBorder="1" applyAlignment="1">
      <alignment horizontal="justify" vertical="top" wrapText="1"/>
    </xf>
    <xf numFmtId="0" fontId="24" fillId="0" borderId="3" xfId="0" applyFont="1" applyBorder="1" applyAlignment="1">
      <alignment horizontal="center" vertical="top" wrapText="1"/>
    </xf>
    <xf numFmtId="0" fontId="24" fillId="0" borderId="12" xfId="0" applyFont="1" applyBorder="1" applyAlignment="1">
      <alignment horizontal="center" vertical="top" wrapText="1"/>
    </xf>
    <xf numFmtId="0" fontId="24" fillId="0" borderId="13" xfId="0" applyFont="1" applyBorder="1" applyAlignment="1">
      <alignment horizontal="center" vertical="top" wrapText="1"/>
    </xf>
    <xf numFmtId="0" fontId="24" fillId="0" borderId="15" xfId="0" applyFont="1" applyBorder="1" applyAlignment="1">
      <alignment horizontal="justify" vertical="top" wrapText="1"/>
    </xf>
    <xf numFmtId="0" fontId="25" fillId="0" borderId="3" xfId="0" applyFont="1" applyBorder="1" applyAlignment="1">
      <alignment horizontal="center" vertical="top" wrapText="1"/>
    </xf>
    <xf numFmtId="0" fontId="25" fillId="0" borderId="12" xfId="0" applyFont="1" applyBorder="1" applyAlignment="1">
      <alignment horizontal="center" vertical="top" wrapText="1"/>
    </xf>
    <xf numFmtId="0" fontId="25" fillId="0" borderId="13" xfId="0" applyFont="1" applyBorder="1" applyAlignment="1">
      <alignment horizontal="center" vertical="top" wrapText="1"/>
    </xf>
    <xf numFmtId="0" fontId="24" fillId="0" borderId="16" xfId="0" applyFont="1" applyBorder="1" applyAlignment="1">
      <alignment horizontal="justify" vertical="top" wrapText="1"/>
    </xf>
    <xf numFmtId="0" fontId="24" fillId="0" borderId="17" xfId="0" applyFont="1" applyBorder="1" applyAlignment="1">
      <alignment horizontal="justify" vertical="top" wrapText="1"/>
    </xf>
    <xf numFmtId="0" fontId="0" fillId="0" borderId="13" xfId="0" applyBorder="1" applyAlignment="1">
      <alignment horizontal="center" vertical="center"/>
    </xf>
    <xf numFmtId="0" fontId="0" fillId="14" borderId="0" xfId="0" applyFill="1" applyBorder="1" applyAlignment="1">
      <alignment horizontal="center" vertical="center"/>
    </xf>
    <xf numFmtId="0" fontId="0" fillId="15" borderId="0" xfId="0" applyFill="1" applyBorder="1" applyAlignment="1">
      <alignment horizontal="center" vertical="center"/>
    </xf>
    <xf numFmtId="184" fontId="26" fillId="0" borderId="0" xfId="0" applyNumberFormat="1" applyFont="1" applyBorder="1" applyAlignment="1">
      <alignment horizontal="center" vertical="center"/>
    </xf>
    <xf numFmtId="0" fontId="0" fillId="0" borderId="0" xfId="0" applyNumberFormat="1" applyBorder="1" applyAlignment="1">
      <alignment horizontal="center" vertical="center"/>
    </xf>
    <xf numFmtId="0" fontId="0" fillId="14" borderId="1" xfId="0" applyNumberFormat="1" applyFill="1" applyBorder="1" applyAlignment="1">
      <alignment horizontal="center" vertical="center"/>
    </xf>
    <xf numFmtId="0" fontId="0" fillId="14" borderId="1" xfId="0" applyFill="1" applyBorder="1" applyAlignment="1">
      <alignment horizontal="center" vertical="center"/>
    </xf>
    <xf numFmtId="184" fontId="27" fillId="14" borderId="1" xfId="0" applyNumberFormat="1" applyFont="1" applyFill="1" applyBorder="1" applyAlignment="1">
      <alignment horizontal="center" vertical="center" wrapText="1"/>
    </xf>
    <xf numFmtId="184" fontId="0" fillId="14" borderId="1" xfId="0" applyNumberFormat="1" applyFill="1" applyBorder="1" applyAlignment="1">
      <alignment horizontal="center" vertical="center"/>
    </xf>
    <xf numFmtId="0" fontId="0" fillId="0" borderId="1" xfId="0" applyNumberFormat="1" applyFill="1" applyBorder="1" applyAlignment="1">
      <alignment horizontal="right" vertical="center"/>
    </xf>
    <xf numFmtId="184" fontId="27" fillId="0" borderId="1" xfId="0" applyNumberFormat="1" applyFont="1" applyFill="1" applyBorder="1" applyAlignment="1">
      <alignment horizontal="center" vertical="center" wrapText="1"/>
    </xf>
    <xf numFmtId="181" fontId="0" fillId="14" borderId="1" xfId="0" applyNumberFormat="1" applyFill="1" applyBorder="1" applyAlignment="1">
      <alignment horizontal="center" vertical="center"/>
    </xf>
    <xf numFmtId="180" fontId="0" fillId="14" borderId="1" xfId="0" applyNumberFormat="1" applyFill="1" applyBorder="1" applyAlignment="1">
      <alignment horizontal="center" vertical="center"/>
    </xf>
    <xf numFmtId="0" fontId="0" fillId="0" borderId="1" xfId="0" applyNumberFormat="1" applyBorder="1" applyAlignment="1">
      <alignment horizontal="right" vertical="center"/>
    </xf>
    <xf numFmtId="181" fontId="0" fillId="0" borderId="1" xfId="0" applyNumberFormat="1" applyBorder="1" applyAlignment="1">
      <alignment horizontal="center" vertical="center"/>
    </xf>
    <xf numFmtId="179" fontId="16" fillId="14" borderId="1" xfId="0" applyNumberFormat="1" applyFont="1" applyFill="1" applyBorder="1" applyAlignment="1">
      <alignment horizontal="center" vertical="center"/>
    </xf>
    <xf numFmtId="176" fontId="0" fillId="0" borderId="1" xfId="0" applyNumberFormat="1" applyFill="1" applyBorder="1" applyAlignment="1">
      <alignment horizontal="right" vertical="center"/>
    </xf>
    <xf numFmtId="179" fontId="16" fillId="0" borderId="1" xfId="0" applyNumberFormat="1" applyFont="1" applyFill="1" applyBorder="1" applyAlignment="1">
      <alignment horizontal="center" vertical="center"/>
    </xf>
    <xf numFmtId="186" fontId="0" fillId="0" borderId="1" xfId="0" applyNumberFormat="1" applyBorder="1" applyAlignment="1">
      <alignment horizontal="center" vertical="center"/>
    </xf>
    <xf numFmtId="180" fontId="0" fillId="16" borderId="1" xfId="0" applyNumberFormat="1" applyFill="1" applyBorder="1" applyAlignment="1">
      <alignment horizontal="center" vertical="center"/>
    </xf>
    <xf numFmtId="0" fontId="0" fillId="15" borderId="0" xfId="0" applyNumberFormat="1" applyFill="1" applyBorder="1" applyAlignment="1">
      <alignment horizontal="center" vertical="center"/>
    </xf>
    <xf numFmtId="180" fontId="0" fillId="15" borderId="0" xfId="0" applyNumberFormat="1" applyFill="1" applyBorder="1" applyAlignment="1">
      <alignment horizontal="center" vertical="center"/>
    </xf>
    <xf numFmtId="0" fontId="26" fillId="0" borderId="0" xfId="0" applyNumberFormat="1" applyFont="1" applyBorder="1" applyAlignment="1">
      <alignment horizontal="center" vertical="center"/>
    </xf>
    <xf numFmtId="184" fontId="26" fillId="2" borderId="1" xfId="0" applyNumberFormat="1" applyFont="1" applyFill="1" applyBorder="1" applyAlignment="1">
      <alignment horizontal="center" vertical="center"/>
    </xf>
    <xf numFmtId="184" fontId="26" fillId="0" borderId="1" xfId="0" applyNumberFormat="1" applyFont="1" applyBorder="1" applyAlignment="1">
      <alignment horizontal="center" vertical="center"/>
    </xf>
    <xf numFmtId="10" fontId="26" fillId="0" borderId="0" xfId="11" applyNumberFormat="1" applyFont="1" applyBorder="1" applyAlignment="1">
      <alignment horizontal="center" vertical="center"/>
    </xf>
    <xf numFmtId="184" fontId="26" fillId="0" borderId="1" xfId="0" applyNumberFormat="1" applyFont="1" applyBorder="1" applyAlignment="1">
      <alignment horizontal="center" vertical="center" wrapText="1"/>
    </xf>
    <xf numFmtId="0" fontId="27" fillId="0" borderId="1" xfId="0" applyFont="1" applyBorder="1" applyAlignment="1">
      <alignment horizontal="center" vertical="center" wrapText="1"/>
    </xf>
    <xf numFmtId="180" fontId="28" fillId="0" borderId="1" xfId="0" applyNumberFormat="1" applyFont="1" applyBorder="1" applyAlignment="1">
      <alignment horizontal="center" vertical="center"/>
    </xf>
    <xf numFmtId="0" fontId="28" fillId="15" borderId="1" xfId="0" applyFont="1" applyFill="1" applyBorder="1" applyAlignment="1">
      <alignment horizontal="center" vertical="center"/>
    </xf>
    <xf numFmtId="180" fontId="29" fillId="15" borderId="1" xfId="0" applyNumberFormat="1" applyFont="1" applyFill="1" applyBorder="1" applyAlignment="1">
      <alignment horizontal="center" vertical="center"/>
    </xf>
    <xf numFmtId="0" fontId="0" fillId="15" borderId="1" xfId="0" applyFill="1" applyBorder="1" applyAlignment="1">
      <alignment horizontal="center" vertical="center"/>
    </xf>
    <xf numFmtId="180" fontId="0" fillId="15" borderId="1" xfId="0" applyNumberFormat="1" applyFill="1" applyBorder="1" applyAlignment="1">
      <alignment horizontal="center" vertical="center"/>
    </xf>
    <xf numFmtId="184" fontId="0" fillId="0" borderId="1" xfId="11" applyNumberFormat="1" applyFont="1" applyBorder="1" applyAlignment="1">
      <alignment horizontal="center" vertical="center"/>
    </xf>
    <xf numFmtId="184" fontId="0" fillId="0" borderId="1" xfId="0" applyNumberFormat="1" applyBorder="1" applyAlignment="1">
      <alignment horizontal="center" vertical="center" wrapText="1"/>
    </xf>
    <xf numFmtId="0" fontId="0" fillId="0" borderId="5" xfId="0" applyFill="1" applyBorder="1" applyAlignment="1">
      <alignment horizontal="center" vertical="center"/>
    </xf>
    <xf numFmtId="180" fontId="0" fillId="0" borderId="0" xfId="0" applyNumberFormat="1">
      <alignment vertical="center"/>
    </xf>
    <xf numFmtId="182" fontId="0" fillId="0" borderId="0" xfId="0" applyNumberFormat="1" applyBorder="1" applyAlignment="1">
      <alignment horizontal="center" vertical="center"/>
    </xf>
    <xf numFmtId="10" fontId="0" fillId="0" borderId="0" xfId="11" applyNumberFormat="1" applyFont="1" applyBorder="1" applyAlignment="1">
      <alignment horizontal="center" vertical="center"/>
    </xf>
    <xf numFmtId="0" fontId="0" fillId="0" borderId="0" xfId="0" applyFill="1">
      <alignment vertical="center"/>
    </xf>
    <xf numFmtId="0" fontId="30" fillId="0" borderId="1" xfId="0" applyFont="1" applyFill="1" applyBorder="1" applyAlignment="1">
      <alignment horizontal="center" vertical="center"/>
    </xf>
    <xf numFmtId="0" fontId="30" fillId="0" borderId="0" xfId="0" applyFont="1" applyFill="1">
      <alignment vertical="center"/>
    </xf>
    <xf numFmtId="0" fontId="30" fillId="2" borderId="3" xfId="0" applyFont="1" applyFill="1" applyBorder="1" applyAlignment="1">
      <alignment horizontal="center" vertical="center"/>
    </xf>
    <xf numFmtId="0" fontId="30" fillId="2" borderId="13" xfId="0" applyFont="1" applyFill="1" applyBorder="1" applyAlignment="1">
      <alignment horizontal="center" vertical="center"/>
    </xf>
    <xf numFmtId="0" fontId="31" fillId="0" borderId="0" xfId="0" applyFont="1" applyFill="1" applyBorder="1" applyAlignment="1">
      <alignment horizontal="center" vertical="center" wrapText="1"/>
    </xf>
    <xf numFmtId="0" fontId="0" fillId="0" borderId="18" xfId="0" applyFill="1" applyBorder="1" applyAlignment="1">
      <alignment horizontal="center" vertical="center"/>
    </xf>
    <xf numFmtId="182" fontId="0" fillId="0" borderId="19" xfId="0" applyNumberFormat="1" applyFill="1" applyBorder="1" applyAlignment="1">
      <alignment horizontal="center" vertical="center"/>
    </xf>
    <xf numFmtId="180" fontId="30" fillId="0" borderId="1" xfId="0" applyNumberFormat="1" applyFont="1" applyFill="1" applyBorder="1" applyAlignment="1">
      <alignment horizontal="center" vertical="center"/>
    </xf>
    <xf numFmtId="0" fontId="0" fillId="0" borderId="20" xfId="0" applyFill="1" applyBorder="1" applyAlignment="1">
      <alignment horizontal="center" vertical="center"/>
    </xf>
    <xf numFmtId="10" fontId="0" fillId="0" borderId="21" xfId="11" applyNumberFormat="1" applyFont="1" applyFill="1" applyBorder="1" applyAlignment="1">
      <alignment horizontal="center" vertical="center"/>
    </xf>
    <xf numFmtId="0" fontId="30" fillId="5" borderId="1" xfId="0" applyFont="1" applyFill="1" applyBorder="1" applyAlignment="1">
      <alignment horizontal="center" vertical="center"/>
    </xf>
    <xf numFmtId="184" fontId="0" fillId="0" borderId="21" xfId="0" applyNumberFormat="1" applyFill="1" applyBorder="1" applyAlignment="1">
      <alignment horizontal="center" vertical="center"/>
    </xf>
    <xf numFmtId="0" fontId="2" fillId="0" borderId="1" xfId="0" applyFont="1" applyBorder="1" applyAlignment="1">
      <alignment horizontal="center" vertical="center"/>
    </xf>
    <xf numFmtId="9" fontId="30" fillId="5" borderId="1" xfId="0" applyNumberFormat="1" applyFont="1" applyFill="1" applyBorder="1" applyAlignment="1">
      <alignment horizontal="center" vertical="center"/>
    </xf>
    <xf numFmtId="10" fontId="0" fillId="0" borderId="20" xfId="0" applyNumberFormat="1" applyFill="1" applyBorder="1" applyAlignment="1">
      <alignment horizontal="center" vertical="center"/>
    </xf>
    <xf numFmtId="180" fontId="30" fillId="5" borderId="1" xfId="0" applyNumberFormat="1" applyFont="1" applyFill="1" applyBorder="1" applyAlignment="1">
      <alignment horizontal="center" vertical="center"/>
    </xf>
    <xf numFmtId="0" fontId="0" fillId="0" borderId="22" xfId="0" applyFill="1" applyBorder="1" applyAlignment="1">
      <alignment horizontal="center" vertical="center"/>
    </xf>
    <xf numFmtId="184" fontId="0" fillId="0" borderId="23" xfId="0" applyNumberFormat="1" applyFill="1" applyBorder="1" applyAlignment="1">
      <alignment horizontal="center" vertical="center"/>
    </xf>
    <xf numFmtId="184" fontId="0" fillId="0" borderId="0" xfId="0" applyNumberFormat="1" applyFill="1" applyBorder="1" applyAlignment="1">
      <alignment horizontal="center" vertical="center"/>
    </xf>
    <xf numFmtId="10" fontId="30" fillId="5" borderId="1" xfId="11" applyNumberFormat="1" applyFont="1" applyFill="1" applyBorder="1" applyAlignment="1">
      <alignment horizontal="center" vertical="center"/>
    </xf>
    <xf numFmtId="0" fontId="0" fillId="2" borderId="1" xfId="0" applyFill="1" applyBorder="1">
      <alignment vertical="center"/>
    </xf>
    <xf numFmtId="0" fontId="0" fillId="0" borderId="1" xfId="0" applyFill="1" applyBorder="1" applyAlignment="1">
      <alignment horizontal="center" vertical="center" wrapText="1"/>
    </xf>
    <xf numFmtId="180" fontId="0" fillId="0" borderId="1" xfId="0" applyNumberFormat="1" applyBorder="1">
      <alignment vertical="center"/>
    </xf>
    <xf numFmtId="0" fontId="30" fillId="0" borderId="4" xfId="0" applyFont="1" applyFill="1" applyBorder="1" applyAlignment="1">
      <alignment horizontal="center" vertical="center"/>
    </xf>
    <xf numFmtId="0" fontId="30" fillId="5" borderId="5" xfId="0" applyFont="1" applyFill="1" applyBorder="1" applyAlignment="1">
      <alignment horizontal="center" vertical="center"/>
    </xf>
    <xf numFmtId="186" fontId="30" fillId="5" borderId="1" xfId="0" applyNumberFormat="1" applyFont="1" applyFill="1" applyBorder="1" applyAlignment="1">
      <alignment horizontal="center" vertical="center"/>
    </xf>
    <xf numFmtId="186" fontId="30" fillId="5" borderId="0" xfId="0" applyNumberFormat="1" applyFont="1" applyFill="1" applyAlignment="1">
      <alignment horizontal="center" vertical="center"/>
    </xf>
    <xf numFmtId="186" fontId="30" fillId="17" borderId="1" xfId="0" applyNumberFormat="1" applyFont="1" applyFill="1" applyBorder="1" applyAlignment="1">
      <alignment horizontal="center" vertical="center"/>
    </xf>
    <xf numFmtId="0" fontId="30" fillId="0" borderId="1" xfId="0" applyFont="1" applyFill="1" applyBorder="1" applyAlignment="1">
      <alignment horizontal="center" vertical="center" wrapText="1"/>
    </xf>
    <xf numFmtId="10" fontId="0" fillId="0" borderId="1" xfId="0" applyNumberFormat="1" applyBorder="1">
      <alignment vertical="center"/>
    </xf>
    <xf numFmtId="0" fontId="30" fillId="0" borderId="3" xfId="0" applyFont="1" applyFill="1" applyBorder="1" applyAlignment="1">
      <alignment horizontal="center" vertical="center"/>
    </xf>
    <xf numFmtId="0" fontId="30" fillId="0" borderId="12" xfId="0" applyFont="1" applyFill="1" applyBorder="1" applyAlignment="1">
      <alignment horizontal="center" vertical="center"/>
    </xf>
    <xf numFmtId="0" fontId="30" fillId="0" borderId="13" xfId="0" applyFont="1" applyFill="1" applyBorder="1" applyAlignment="1">
      <alignment horizontal="center" vertical="center"/>
    </xf>
    <xf numFmtId="180" fontId="0" fillId="0" borderId="1" xfId="0" applyNumberFormat="1" applyFill="1" applyBorder="1">
      <alignment vertical="center"/>
    </xf>
    <xf numFmtId="0" fontId="30" fillId="0" borderId="0" xfId="0" applyFont="1" applyFill="1" applyBorder="1" applyAlignment="1">
      <alignment horizontal="center" vertical="center"/>
    </xf>
    <xf numFmtId="10" fontId="0" fillId="0" borderId="1" xfId="0" applyNumberFormat="1" applyFill="1" applyBorder="1">
      <alignment vertical="center"/>
    </xf>
    <xf numFmtId="189" fontId="30" fillId="18" borderId="1" xfId="11" applyNumberFormat="1" applyFont="1" applyFill="1" applyBorder="1" applyAlignment="1">
      <alignment horizontal="center" vertical="center"/>
    </xf>
    <xf numFmtId="10" fontId="30" fillId="19" borderId="1" xfId="11" applyNumberFormat="1" applyFont="1" applyFill="1" applyBorder="1" applyAlignment="1">
      <alignment horizontal="center" vertical="center"/>
    </xf>
    <xf numFmtId="0" fontId="32" fillId="0" borderId="1" xfId="0" applyFont="1" applyFill="1" applyBorder="1" applyAlignment="1">
      <alignment horizontal="center" vertical="center"/>
    </xf>
    <xf numFmtId="0" fontId="30" fillId="19" borderId="1" xfId="11" applyNumberFormat="1" applyFont="1" applyFill="1" applyBorder="1" applyAlignment="1">
      <alignment horizontal="center" vertical="center"/>
    </xf>
    <xf numFmtId="0" fontId="30" fillId="19" borderId="1" xfId="0" applyNumberFormat="1" applyFont="1" applyFill="1" applyBorder="1" applyAlignment="1">
      <alignment horizontal="center" vertical="center"/>
    </xf>
    <xf numFmtId="0" fontId="30" fillId="0" borderId="0" xfId="0" applyFont="1" applyFill="1" applyAlignment="1">
      <alignment vertical="center" wrapText="1"/>
    </xf>
    <xf numFmtId="176" fontId="30" fillId="0" borderId="1" xfId="11" applyNumberFormat="1" applyFont="1" applyFill="1" applyBorder="1" applyAlignment="1">
      <alignment horizontal="center" vertical="center"/>
    </xf>
    <xf numFmtId="10" fontId="30" fillId="0" borderId="1" xfId="0" applyNumberFormat="1" applyFont="1" applyFill="1" applyBorder="1" applyAlignment="1">
      <alignment horizontal="center" vertical="center"/>
    </xf>
    <xf numFmtId="10" fontId="30" fillId="0" borderId="1" xfId="11" applyNumberFormat="1" applyFont="1" applyFill="1" applyBorder="1" applyAlignment="1">
      <alignment horizontal="center" vertical="center"/>
    </xf>
    <xf numFmtId="189" fontId="30" fillId="0" borderId="1" xfId="0" applyNumberFormat="1" applyFont="1" applyFill="1" applyBorder="1" applyAlignment="1">
      <alignment horizontal="center" vertical="center"/>
    </xf>
    <xf numFmtId="0" fontId="32" fillId="0" borderId="1" xfId="0" applyFont="1" applyFill="1" applyBorder="1" applyAlignment="1">
      <alignment horizontal="center" vertical="center" wrapText="1"/>
    </xf>
    <xf numFmtId="0" fontId="30" fillId="0" borderId="1" xfId="11" applyNumberFormat="1" applyFont="1" applyFill="1" applyBorder="1" applyAlignment="1">
      <alignment horizontal="center" vertical="center"/>
    </xf>
    <xf numFmtId="9" fontId="30" fillId="0" borderId="1" xfId="0" applyNumberFormat="1" applyFont="1" applyFill="1" applyBorder="1" applyAlignment="1">
      <alignment horizontal="center" vertical="center"/>
    </xf>
    <xf numFmtId="0" fontId="0" fillId="0" borderId="0" xfId="0" applyFill="1" applyAlignment="1">
      <alignment vertical="center" wrapText="1"/>
    </xf>
    <xf numFmtId="0" fontId="32" fillId="0" borderId="13" xfId="0" applyFont="1" applyFill="1" applyBorder="1" applyAlignment="1">
      <alignment horizontal="center" vertical="center"/>
    </xf>
    <xf numFmtId="0" fontId="30" fillId="0" borderId="0" xfId="0" applyFont="1" applyFill="1" applyBorder="1" applyAlignment="1">
      <alignment horizontal="center" vertical="center" wrapText="1"/>
    </xf>
    <xf numFmtId="0" fontId="0" fillId="0" borderId="0" xfId="0" applyFill="1" applyBorder="1" applyAlignment="1">
      <alignment horizontal="center" vertical="center" wrapText="1"/>
    </xf>
    <xf numFmtId="9" fontId="30" fillId="18" borderId="1" xfId="0" applyNumberFormat="1" applyFont="1" applyFill="1" applyBorder="1" applyAlignment="1">
      <alignment horizontal="center" vertical="center"/>
    </xf>
    <xf numFmtId="0" fontId="30" fillId="20" borderId="1" xfId="0" applyFont="1" applyFill="1" applyBorder="1" applyAlignment="1">
      <alignment horizontal="center" vertical="center"/>
    </xf>
    <xf numFmtId="0" fontId="27" fillId="0" borderId="1" xfId="0" applyFont="1" applyFill="1" applyBorder="1" applyAlignment="1">
      <alignment horizontal="center" vertical="center"/>
    </xf>
    <xf numFmtId="0" fontId="30" fillId="9" borderId="1" xfId="0" applyFont="1" applyFill="1" applyBorder="1" applyAlignment="1">
      <alignment horizontal="center" vertical="center"/>
    </xf>
    <xf numFmtId="180" fontId="30" fillId="9" borderId="1" xfId="0" applyNumberFormat="1" applyFont="1" applyFill="1" applyBorder="1" applyAlignment="1">
      <alignment horizontal="center" vertical="center"/>
    </xf>
    <xf numFmtId="176" fontId="30" fillId="5" borderId="1" xfId="0" applyNumberFormat="1" applyFont="1" applyFill="1" applyBorder="1" applyAlignment="1">
      <alignment horizontal="center" vertical="center"/>
    </xf>
    <xf numFmtId="184" fontId="30" fillId="0" borderId="0" xfId="0" applyNumberFormat="1" applyFont="1" applyFill="1">
      <alignment vertical="center"/>
    </xf>
    <xf numFmtId="0" fontId="30" fillId="5" borderId="1" xfId="11" applyNumberFormat="1" applyFont="1" applyFill="1" applyBorder="1" applyAlignment="1">
      <alignment horizontal="center" vertical="center"/>
    </xf>
    <xf numFmtId="185" fontId="30" fillId="5" borderId="1" xfId="0" applyNumberFormat="1" applyFont="1" applyFill="1" applyBorder="1" applyAlignment="1">
      <alignment horizontal="center" vertical="center"/>
    </xf>
    <xf numFmtId="0" fontId="26" fillId="0" borderId="1" xfId="0" applyFont="1" applyBorder="1" applyAlignment="1">
      <alignment wrapText="1"/>
    </xf>
    <xf numFmtId="10" fontId="30" fillId="18" borderId="1" xfId="0" applyNumberFormat="1" applyFont="1" applyFill="1" applyBorder="1" applyAlignment="1">
      <alignment horizontal="center" vertical="center"/>
    </xf>
    <xf numFmtId="0" fontId="30" fillId="21" borderId="1" xfId="0" applyFont="1" applyFill="1" applyBorder="1" applyAlignment="1">
      <alignment horizontal="center" vertical="center"/>
    </xf>
    <xf numFmtId="180" fontId="30" fillId="21" borderId="1" xfId="0" applyNumberFormat="1" applyFont="1" applyFill="1" applyBorder="1" applyAlignment="1">
      <alignment horizontal="center" vertical="center"/>
    </xf>
    <xf numFmtId="9" fontId="0" fillId="0" borderId="0" xfId="0" applyNumberFormat="1" applyFill="1" applyBorder="1" applyAlignment="1">
      <alignment horizontal="center" vertical="center"/>
    </xf>
    <xf numFmtId="9" fontId="0" fillId="0" borderId="0" xfId="0" applyNumberFormat="1" applyFill="1" applyBorder="1" applyAlignment="1">
      <alignment horizontal="center" vertical="center" wrapText="1"/>
    </xf>
    <xf numFmtId="0" fontId="27" fillId="0" borderId="13" xfId="0" applyFont="1" applyFill="1" applyBorder="1" applyAlignment="1">
      <alignment horizontal="center" vertical="center"/>
    </xf>
    <xf numFmtId="0" fontId="30" fillId="0" borderId="0" xfId="0" applyFont="1" applyFill="1" applyBorder="1">
      <alignment vertical="center"/>
    </xf>
    <xf numFmtId="184" fontId="30" fillId="22" borderId="1" xfId="0" applyNumberFormat="1" applyFont="1" applyFill="1" applyBorder="1" applyAlignment="1">
      <alignment horizontal="center" vertical="center"/>
    </xf>
    <xf numFmtId="0" fontId="30" fillId="0" borderId="1" xfId="0" applyFont="1" applyFill="1" applyBorder="1">
      <alignment vertical="center"/>
    </xf>
    <xf numFmtId="0" fontId="30" fillId="20" borderId="1" xfId="0" applyFont="1" applyFill="1" applyBorder="1">
      <alignment vertical="center"/>
    </xf>
    <xf numFmtId="0" fontId="30" fillId="0" borderId="0" xfId="0" applyFont="1" applyFill="1" applyBorder="1" applyAlignment="1">
      <alignment vertical="center" wrapText="1"/>
    </xf>
    <xf numFmtId="0" fontId="33" fillId="0" borderId="1" xfId="0" applyFont="1" applyFill="1" applyBorder="1" applyAlignment="1">
      <alignment horizontal="center" vertical="center"/>
    </xf>
    <xf numFmtId="0" fontId="0" fillId="5" borderId="0" xfId="0" applyFill="1" applyAlignment="1" applyProtection="1">
      <alignment horizontal="center" vertical="center"/>
      <protection locked="0"/>
    </xf>
    <xf numFmtId="0" fontId="0" fillId="0" borderId="0" xfId="0" applyAlignment="1" applyProtection="1">
      <alignment horizontal="center" vertical="center"/>
      <protection locked="0"/>
    </xf>
    <xf numFmtId="184" fontId="0" fillId="0" borderId="0" xfId="0" applyNumberFormat="1" applyAlignment="1" applyProtection="1">
      <alignment horizontal="center" vertical="center"/>
      <protection locked="0"/>
    </xf>
    <xf numFmtId="0" fontId="0" fillId="0" borderId="0" xfId="0" applyBorder="1" applyAlignment="1" applyProtection="1">
      <alignment horizontal="center" vertical="center"/>
      <protection locked="0"/>
    </xf>
    <xf numFmtId="0" fontId="0" fillId="23" borderId="3" xfId="0" applyFill="1" applyBorder="1" applyAlignment="1" applyProtection="1">
      <alignment horizontal="center" vertical="center"/>
      <protection locked="0"/>
    </xf>
    <xf numFmtId="0" fontId="0" fillId="23" borderId="13" xfId="0" applyFill="1" applyBorder="1" applyAlignment="1" applyProtection="1">
      <alignment horizontal="center" vertical="center"/>
      <protection locked="0"/>
    </xf>
    <xf numFmtId="0" fontId="0" fillId="9" borderId="1" xfId="0" applyFill="1" applyBorder="1" applyAlignment="1" applyProtection="1">
      <alignment horizontal="center" vertical="center"/>
      <protection locked="0"/>
    </xf>
    <xf numFmtId="9" fontId="0" fillId="9" borderId="1" xfId="0" applyNumberFormat="1" applyFill="1" applyBorder="1" applyAlignment="1" applyProtection="1">
      <alignment horizontal="center" vertical="center"/>
      <protection locked="0"/>
    </xf>
    <xf numFmtId="0" fontId="0" fillId="23" borderId="2" xfId="0" applyFill="1" applyBorder="1" applyAlignment="1" applyProtection="1">
      <alignment horizontal="center" vertical="center"/>
      <protection locked="0"/>
    </xf>
    <xf numFmtId="0" fontId="2" fillId="23" borderId="2" xfId="0" applyFont="1" applyFill="1" applyBorder="1" applyAlignment="1" applyProtection="1">
      <alignment horizontal="center" vertical="center"/>
      <protection locked="0"/>
    </xf>
    <xf numFmtId="0" fontId="34" fillId="23" borderId="2" xfId="0" applyFont="1" applyFill="1" applyBorder="1" applyAlignment="1" applyProtection="1">
      <alignment horizontal="center" vertical="center"/>
      <protection locked="0"/>
    </xf>
    <xf numFmtId="184" fontId="35" fillId="23" borderId="1" xfId="0" applyNumberFormat="1" applyFont="1" applyFill="1" applyBorder="1" applyAlignment="1" applyProtection="1">
      <alignment horizontal="center" vertical="center"/>
      <protection locked="0"/>
    </xf>
    <xf numFmtId="180" fontId="35" fillId="23" borderId="2" xfId="0" applyNumberFormat="1" applyFont="1" applyFill="1" applyBorder="1" applyAlignment="1" applyProtection="1">
      <alignment horizontal="center" vertical="center"/>
      <protection locked="0"/>
    </xf>
    <xf numFmtId="0" fontId="30" fillId="23" borderId="2" xfId="0" applyFont="1" applyFill="1" applyBorder="1" applyAlignment="1" applyProtection="1">
      <alignment horizontal="center" vertical="center"/>
      <protection locked="0"/>
    </xf>
    <xf numFmtId="0" fontId="0" fillId="23" borderId="4" xfId="0" applyFill="1" applyBorder="1" applyAlignment="1" applyProtection="1">
      <alignment horizontal="center" vertical="center"/>
      <protection locked="0"/>
    </xf>
    <xf numFmtId="0" fontId="2" fillId="23" borderId="4" xfId="0" applyFont="1" applyFill="1" applyBorder="1" applyAlignment="1" applyProtection="1">
      <alignment horizontal="center" vertical="center"/>
      <protection locked="0"/>
    </xf>
    <xf numFmtId="0" fontId="34" fillId="23" borderId="4" xfId="0" applyFont="1" applyFill="1" applyBorder="1" applyAlignment="1" applyProtection="1">
      <alignment horizontal="center" vertical="center"/>
      <protection locked="0"/>
    </xf>
    <xf numFmtId="180" fontId="35" fillId="23" borderId="4" xfId="0" applyNumberFormat="1" applyFont="1" applyFill="1" applyBorder="1" applyAlignment="1" applyProtection="1">
      <alignment horizontal="center" vertical="center"/>
      <protection locked="0"/>
    </xf>
    <xf numFmtId="0" fontId="30" fillId="23" borderId="5" xfId="0" applyFont="1" applyFill="1" applyBorder="1" applyAlignment="1" applyProtection="1">
      <alignment horizontal="center" vertical="center"/>
      <protection locked="0"/>
    </xf>
    <xf numFmtId="0" fontId="0" fillId="0" borderId="1" xfId="0" applyBorder="1" applyAlignment="1" applyProtection="1">
      <alignment horizontal="center" vertical="center"/>
      <protection locked="0"/>
    </xf>
    <xf numFmtId="0" fontId="2" fillId="0" borderId="24" xfId="0" applyFont="1" applyBorder="1" applyAlignment="1" applyProtection="1">
      <alignment horizontal="center" vertical="center"/>
      <protection locked="0"/>
    </xf>
    <xf numFmtId="0" fontId="34" fillId="0" borderId="1" xfId="0" applyFont="1" applyBorder="1" applyAlignment="1" applyProtection="1">
      <alignment horizontal="center" vertical="center"/>
      <protection locked="0"/>
    </xf>
    <xf numFmtId="180" fontId="0" fillId="0" borderId="1" xfId="0" applyNumberFormat="1" applyBorder="1" applyAlignment="1" applyProtection="1">
      <alignment horizontal="center" vertical="center"/>
      <protection locked="0"/>
    </xf>
    <xf numFmtId="9" fontId="34" fillId="0" borderId="1" xfId="0" applyNumberFormat="1" applyFont="1" applyBorder="1" applyAlignment="1" applyProtection="1">
      <alignment horizontal="center" vertical="center"/>
      <protection locked="0"/>
    </xf>
    <xf numFmtId="184" fontId="0" fillId="0" borderId="1" xfId="0" applyNumberFormat="1" applyBorder="1" applyAlignment="1" applyProtection="1">
      <alignment horizontal="center" vertical="center"/>
      <protection locked="0"/>
    </xf>
    <xf numFmtId="0" fontId="0" fillId="0" borderId="1" xfId="0" applyBorder="1" applyAlignment="1" applyProtection="1">
      <alignment horizontal="center" vertical="center" wrapText="1"/>
      <protection locked="0"/>
    </xf>
    <xf numFmtId="0" fontId="2" fillId="0" borderId="1" xfId="0" applyFont="1" applyFill="1" applyBorder="1" applyAlignment="1" applyProtection="1">
      <alignment horizontal="center" vertical="center"/>
      <protection locked="0"/>
    </xf>
    <xf numFmtId="180" fontId="30" fillId="0" borderId="1" xfId="0" applyNumberFormat="1" applyFont="1" applyBorder="1" applyAlignment="1" applyProtection="1">
      <alignment horizontal="center" vertical="center"/>
      <protection locked="0"/>
    </xf>
    <xf numFmtId="0" fontId="2" fillId="0" borderId="1" xfId="0" applyFont="1" applyBorder="1" applyAlignment="1" applyProtection="1">
      <alignment horizontal="center" vertical="center"/>
      <protection locked="0"/>
    </xf>
    <xf numFmtId="186" fontId="34" fillId="0" borderId="1" xfId="0" applyNumberFormat="1" applyFont="1" applyBorder="1" applyAlignment="1" applyProtection="1">
      <alignment horizontal="center" vertical="center"/>
      <protection locked="0"/>
    </xf>
    <xf numFmtId="189" fontId="0" fillId="0" borderId="1" xfId="0" applyNumberFormat="1" applyBorder="1" applyAlignment="1" applyProtection="1">
      <alignment horizontal="center" vertical="center"/>
      <protection locked="0"/>
    </xf>
    <xf numFmtId="0" fontId="35" fillId="5" borderId="1" xfId="0" applyFont="1" applyFill="1" applyBorder="1" applyAlignment="1" applyProtection="1">
      <alignment horizontal="center" vertical="center"/>
      <protection locked="0"/>
    </xf>
    <xf numFmtId="180" fontId="35" fillId="5" borderId="1" xfId="0" applyNumberFormat="1" applyFont="1" applyFill="1" applyBorder="1" applyAlignment="1" applyProtection="1">
      <alignment horizontal="center" vertical="center"/>
      <protection locked="0"/>
    </xf>
    <xf numFmtId="180" fontId="35" fillId="0" borderId="1" xfId="0" applyNumberFormat="1" applyFont="1" applyBorder="1" applyAlignment="1" applyProtection="1">
      <alignment horizontal="center" vertical="center"/>
      <protection locked="0"/>
    </xf>
    <xf numFmtId="0" fontId="0" fillId="23" borderId="1" xfId="0" applyFill="1" applyBorder="1" applyAlignment="1" applyProtection="1">
      <alignment horizontal="center" vertical="center"/>
      <protection locked="0"/>
    </xf>
    <xf numFmtId="0" fontId="2" fillId="23" borderId="24" xfId="0" applyFont="1" applyFill="1" applyBorder="1" applyAlignment="1" applyProtection="1">
      <alignment horizontal="center" vertical="center"/>
      <protection locked="0"/>
    </xf>
    <xf numFmtId="0" fontId="36" fillId="0" borderId="1" xfId="0" applyFont="1" applyBorder="1" applyAlignment="1" applyProtection="1">
      <alignment horizontal="center" vertical="center"/>
      <protection locked="0"/>
    </xf>
    <xf numFmtId="0" fontId="34" fillId="5" borderId="1" xfId="0" applyFont="1" applyFill="1" applyBorder="1" applyAlignment="1" applyProtection="1">
      <alignment horizontal="center" vertical="center"/>
      <protection locked="0"/>
    </xf>
    <xf numFmtId="9" fontId="34" fillId="5" borderId="1" xfId="0" applyNumberFormat="1" applyFont="1" applyFill="1" applyBorder="1" applyAlignment="1" applyProtection="1">
      <alignment horizontal="center" vertical="center"/>
      <protection locked="0"/>
    </xf>
    <xf numFmtId="0" fontId="0" fillId="5" borderId="1" xfId="0" applyFill="1" applyBorder="1" applyAlignment="1" applyProtection="1">
      <alignment horizontal="center" vertical="center"/>
      <protection locked="0"/>
    </xf>
    <xf numFmtId="0" fontId="35" fillId="5" borderId="0" xfId="0" applyFont="1" applyFill="1" applyBorder="1" applyAlignment="1" applyProtection="1">
      <alignment horizontal="center" vertical="center"/>
      <protection locked="0"/>
    </xf>
    <xf numFmtId="0" fontId="30" fillId="9" borderId="1" xfId="0" applyFont="1" applyFill="1" applyBorder="1" applyAlignment="1" applyProtection="1">
      <alignment horizontal="center" vertical="center"/>
      <protection locked="0"/>
    </xf>
    <xf numFmtId="188" fontId="0" fillId="8" borderId="0" xfId="0" applyNumberFormat="1" applyFill="1" applyAlignment="1" applyProtection="1">
      <alignment horizontal="center" vertical="center"/>
      <protection locked="0"/>
    </xf>
    <xf numFmtId="180" fontId="30" fillId="9" borderId="1" xfId="0" applyNumberFormat="1" applyFont="1" applyFill="1" applyBorder="1" applyAlignment="1" applyProtection="1">
      <alignment horizontal="center" vertical="center"/>
      <protection locked="0"/>
    </xf>
    <xf numFmtId="0" fontId="35" fillId="0" borderId="1" xfId="0" applyFont="1" applyBorder="1" applyAlignment="1" applyProtection="1">
      <alignment horizontal="center" vertical="center"/>
      <protection locked="0"/>
    </xf>
    <xf numFmtId="10" fontId="0" fillId="0" borderId="1" xfId="0" applyNumberFormat="1" applyBorder="1" applyAlignment="1" applyProtection="1">
      <alignment horizontal="center" vertical="center"/>
      <protection locked="0"/>
    </xf>
    <xf numFmtId="180" fontId="0" fillId="9" borderId="1" xfId="0" applyNumberFormat="1" applyFill="1" applyBorder="1" applyAlignment="1" applyProtection="1">
      <alignment horizontal="center" vertical="center"/>
      <protection locked="0"/>
    </xf>
    <xf numFmtId="180" fontId="0" fillId="5" borderId="1" xfId="0" applyNumberFormat="1" applyFill="1" applyBorder="1" applyAlignment="1" applyProtection="1">
      <alignment horizontal="center" vertical="center"/>
      <protection locked="0"/>
    </xf>
    <xf numFmtId="10" fontId="0" fillId="5" borderId="1" xfId="0" applyNumberFormat="1" applyFill="1" applyBorder="1" applyAlignment="1" applyProtection="1">
      <alignment horizontal="center" vertical="center"/>
      <protection locked="0"/>
    </xf>
    <xf numFmtId="184" fontId="0" fillId="8" borderId="1" xfId="0" applyNumberFormat="1" applyFill="1" applyBorder="1" applyAlignment="1" applyProtection="1">
      <alignment horizontal="center" vertical="center"/>
      <protection locked="0"/>
    </xf>
    <xf numFmtId="0" fontId="0" fillId="0" borderId="0" xfId="0" applyProtection="1">
      <alignment vertical="center"/>
      <protection locked="0"/>
    </xf>
    <xf numFmtId="9" fontId="0" fillId="0" borderId="1" xfId="0" applyNumberFormat="1" applyBorder="1" applyAlignment="1" applyProtection="1">
      <alignment horizontal="center" vertical="center"/>
      <protection locked="0"/>
    </xf>
    <xf numFmtId="10" fontId="0" fillId="0" borderId="1" xfId="11" applyNumberFormat="1" applyFont="1" applyBorder="1" applyAlignment="1" applyProtection="1">
      <alignment horizontal="center" vertical="center"/>
      <protection locked="0"/>
    </xf>
    <xf numFmtId="185" fontId="0" fillId="0" borderId="1" xfId="0" applyNumberFormat="1" applyBorder="1" applyAlignment="1" applyProtection="1">
      <alignment horizontal="center" vertical="center"/>
      <protection locked="0"/>
    </xf>
    <xf numFmtId="0" fontId="37" fillId="2" borderId="0" xfId="0" applyFont="1" applyFill="1" applyAlignment="1" applyProtection="1">
      <alignment horizontal="center" vertical="center"/>
    </xf>
    <xf numFmtId="0" fontId="0" fillId="2" borderId="0" xfId="0" applyFill="1" applyAlignment="1" applyProtection="1">
      <alignment horizontal="center" vertical="center"/>
    </xf>
    <xf numFmtId="9" fontId="0" fillId="0" borderId="0" xfId="0" applyNumberFormat="1" applyAlignment="1" applyProtection="1">
      <alignment horizontal="center" vertical="center"/>
      <protection locked="0"/>
    </xf>
    <xf numFmtId="0" fontId="30" fillId="5" borderId="1" xfId="0" applyFont="1" applyFill="1" applyBorder="1" applyAlignment="1" quotePrefix="1">
      <alignment horizontal="center" vertical="center"/>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百分比" xfId="10" builtinId="5"/>
    <cellStyle name="百分比 2" xfId="11"/>
    <cellStyle name="注释" xfId="12" builtinId="10"/>
    <cellStyle name="60% - 强调文字颜色 2" xfId="13" builtinId="36"/>
    <cellStyle name="标题 4" xfId="14" builtinId="19"/>
    <cellStyle name="警告文本" xfId="15" builtinId="11"/>
    <cellStyle name="标题" xfId="16" builtinId="15"/>
    <cellStyle name="解释性文本" xfId="17" builtinId="53"/>
    <cellStyle name="标题 1" xfId="18" builtinId="16"/>
    <cellStyle name="标题 2" xfId="19" builtinId="17"/>
    <cellStyle name="60% - 强调文字颜色 1" xfId="20" builtinId="32"/>
    <cellStyle name="标题 3" xfId="21" builtinId="18"/>
    <cellStyle name="60% - 强调文字颜色 4" xfId="22" builtinId="44"/>
    <cellStyle name="输出" xfId="23" builtinId="21"/>
    <cellStyle name="计算" xfId="24" builtinId="22"/>
    <cellStyle name="检查单元格" xfId="25" builtinId="23"/>
    <cellStyle name="20% - 强调文字颜色 6" xfId="26" builtinId="50"/>
    <cellStyle name="强调文字颜色 2" xfId="27" builtinId="33"/>
    <cellStyle name="链接单元格" xfId="28" builtinId="24"/>
    <cellStyle name="汇总" xfId="29" builtinId="25"/>
    <cellStyle name="好" xfId="30" builtinId="26"/>
    <cellStyle name="适中" xfId="31" builtinId="28"/>
    <cellStyle name="20% - 强调文字颜色 5" xfId="32" builtinId="46"/>
    <cellStyle name="强调文字颜色 1" xfId="33" builtinId="29"/>
    <cellStyle name="20% - 强调文字颜色 1" xfId="34" builtinId="30"/>
    <cellStyle name="40% - 强调文字颜色 1" xfId="35" builtinId="31"/>
    <cellStyle name="20% - 强调文字颜色 2" xfId="36" builtinId="34"/>
    <cellStyle name="40% - 强调文字颜色 2" xfId="37" builtinId="35"/>
    <cellStyle name="强调文字颜色 3" xfId="38" builtinId="37"/>
    <cellStyle name="强调文字颜色 4" xfId="39" builtinId="41"/>
    <cellStyle name="20% - 强调文字颜色 4" xfId="40" builtinId="42"/>
    <cellStyle name="40% - 强调文字颜色 4" xfId="41" builtinId="43"/>
    <cellStyle name="强调文字颜色 5" xfId="42" builtinId="45"/>
    <cellStyle name="40% - 强调文字颜色 5" xfId="43" builtinId="47"/>
    <cellStyle name="60% - 强调文字颜色 5" xfId="44" builtinId="48"/>
    <cellStyle name="强调文字颜色 6" xfId="45" builtinId="49"/>
    <cellStyle name="常规 2 3" xfId="46"/>
    <cellStyle name="40% - 强调文字颜色 6" xfId="47" builtinId="51"/>
    <cellStyle name="60% - 强调文字颜色 6" xfId="48" builtinId="52"/>
    <cellStyle name="常规 4" xfId="49"/>
  </cellStyle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4" Type="http://schemas.openxmlformats.org/officeDocument/2006/relationships/sharedStrings" Target="sharedStrings.xml"/><Relationship Id="rId13" Type="http://schemas.openxmlformats.org/officeDocument/2006/relationships/styles" Target="styles.xml"/><Relationship Id="rId12" Type="http://schemas.openxmlformats.org/officeDocument/2006/relationships/theme" Target="theme/theme1.xml"/><Relationship Id="rId11" Type="http://schemas.openxmlformats.org/officeDocument/2006/relationships/externalLink" Target="externalLinks/externalLink1.xml"/><Relationship Id="rId10" Type="http://schemas.openxmlformats.org/officeDocument/2006/relationships/worksheet" Target="worksheets/sheet10.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VZ\Desktop\&#12304;&#25171;&#21253;&#19979;&#36733;&#12305;&#21271;&#20140;&#21830;&#19994;&#39033;&#30446;-&#38146;&#30005;&#20648;&#33021;&#27979;&#31639;&#34920;&#26684;(1)&#31561;\&#20648;&#33021;&#27979;&#31639;&#34920;&#26684;&#22522;&#20934;&#29256;-&#38146;&#30005;-&#28023;&#21338;&#24605;&#21019;&#29256;&#26412;3.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设备工程参数"/>
      <sheetName val="投资参数"/>
      <sheetName val="计算界面-年"/>
      <sheetName val="电价政策"/>
      <sheetName val="分布式省市补贴电价"/>
      <sheetName val="光照资源"/>
      <sheetName val="敏感性分析"/>
      <sheetName val="租赁"/>
      <sheetName val="租赁 (2)"/>
      <sheetName val="银行贷款"/>
      <sheetName val="全国电价统计表格"/>
      <sheetName val="银行贷款 (2)"/>
      <sheetName val="企业用电统计（参考判断）"/>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row r="148">
          <cell r="J148">
            <v>35.8309008722108</v>
          </cell>
          <cell r="K148">
            <v>6.3168</v>
          </cell>
        </row>
      </sheetData>
      <sheetData sheetId="8" refreshError="1"/>
      <sheetData sheetId="9" refreshError="1"/>
      <sheetData sheetId="10" refreshError="1"/>
      <sheetData sheetId="11" refreshError="1"/>
      <sheetData sheetId="12" refreshError="1"/>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DengXian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J46"/>
  <sheetViews>
    <sheetView workbookViewId="0">
      <pane xSplit="2" ySplit="4" topLeftCell="C35" activePane="bottomRight" state="frozen"/>
      <selection/>
      <selection pane="topRight"/>
      <selection pane="bottomLeft"/>
      <selection pane="bottomRight" activeCell="A43" sqref="A43:G46"/>
    </sheetView>
  </sheetViews>
  <sheetFormatPr defaultColWidth="8.86666666666667" defaultRowHeight="18.5" customHeight="1"/>
  <cols>
    <col min="1" max="1" width="8.86666666666667" style="351"/>
    <col min="2" max="2" width="24.4" style="351" customWidth="1"/>
    <col min="3" max="3" width="16.7333333333333" style="351" customWidth="1"/>
    <col min="4" max="4" width="18.6" style="352" customWidth="1"/>
    <col min="5" max="5" width="15.6" style="352" customWidth="1"/>
    <col min="6" max="7" width="8.86666666666667" style="351"/>
    <col min="8" max="8" width="11.2666666666667" style="353" customWidth="1"/>
    <col min="9" max="16384" width="8.86666666666667" style="351"/>
  </cols>
  <sheetData>
    <row r="2" customHeight="1" spans="1:7">
      <c r="A2" s="354" t="s">
        <v>0</v>
      </c>
      <c r="B2" s="355"/>
      <c r="F2" s="356" t="s">
        <v>1</v>
      </c>
      <c r="G2" s="357">
        <v>0.17</v>
      </c>
    </row>
    <row r="3" customHeight="1" spans="1:8">
      <c r="A3" s="358" t="s">
        <v>2</v>
      </c>
      <c r="B3" s="359" t="s">
        <v>3</v>
      </c>
      <c r="C3" s="360" t="s">
        <v>4</v>
      </c>
      <c r="D3" s="361" t="s">
        <v>5</v>
      </c>
      <c r="E3" s="361"/>
      <c r="F3" s="362" t="s">
        <v>6</v>
      </c>
      <c r="G3" s="362" t="s">
        <v>7</v>
      </c>
      <c r="H3" s="363" t="s">
        <v>8</v>
      </c>
    </row>
    <row r="4" customHeight="1" spans="1:10">
      <c r="A4" s="364"/>
      <c r="B4" s="365"/>
      <c r="C4" s="366"/>
      <c r="D4" s="361" t="s">
        <v>9</v>
      </c>
      <c r="E4" s="361" t="s">
        <v>10</v>
      </c>
      <c r="F4" s="367"/>
      <c r="G4" s="367"/>
      <c r="H4" s="368"/>
      <c r="J4" s="406"/>
    </row>
    <row r="5" customHeight="1" spans="1:8">
      <c r="A5" s="369">
        <v>1</v>
      </c>
      <c r="B5" s="370" t="s">
        <v>11</v>
      </c>
      <c r="C5" s="371">
        <v>4500</v>
      </c>
      <c r="D5" s="369"/>
      <c r="E5" s="369"/>
      <c r="F5" s="372"/>
      <c r="G5" s="372"/>
      <c r="H5" s="369"/>
    </row>
    <row r="6" ht="45" customHeight="1" spans="1:8">
      <c r="A6" s="369">
        <v>2</v>
      </c>
      <c r="B6" s="370" t="s">
        <v>12</v>
      </c>
      <c r="C6" s="373">
        <v>0.7</v>
      </c>
      <c r="D6" s="374"/>
      <c r="E6" s="374"/>
      <c r="F6" s="369"/>
      <c r="G6" s="372"/>
      <c r="H6" s="375"/>
    </row>
    <row r="7" customHeight="1" spans="1:8">
      <c r="A7" s="369">
        <v>3</v>
      </c>
      <c r="B7" s="370" t="s">
        <v>13</v>
      </c>
      <c r="C7" s="371">
        <v>6</v>
      </c>
      <c r="D7" s="369"/>
      <c r="E7" s="369"/>
      <c r="F7" s="369"/>
      <c r="G7" s="372"/>
      <c r="H7" s="369"/>
    </row>
    <row r="8" customHeight="1" spans="1:8">
      <c r="A8" s="369">
        <v>4</v>
      </c>
      <c r="B8" s="370" t="s">
        <v>14</v>
      </c>
      <c r="C8" s="371">
        <f>C5/C7</f>
        <v>750</v>
      </c>
      <c r="D8" s="369"/>
      <c r="E8" s="369"/>
      <c r="F8" s="369"/>
      <c r="G8" s="372"/>
      <c r="H8" s="369"/>
    </row>
    <row r="9" customHeight="1" spans="1:8">
      <c r="A9" s="369">
        <v>5</v>
      </c>
      <c r="B9" s="370" t="s">
        <v>15</v>
      </c>
      <c r="C9" s="373">
        <v>0.95</v>
      </c>
      <c r="D9" s="369"/>
      <c r="E9" s="369"/>
      <c r="F9" s="369"/>
      <c r="G9" s="372"/>
      <c r="H9" s="369"/>
    </row>
    <row r="10" customHeight="1" spans="1:8">
      <c r="A10" s="369">
        <v>6</v>
      </c>
      <c r="B10" s="376" t="s">
        <v>16</v>
      </c>
      <c r="C10" s="377">
        <f>C5/C6</f>
        <v>6428.57142857143</v>
      </c>
      <c r="D10" s="369"/>
      <c r="E10" s="369"/>
      <c r="F10" s="369"/>
      <c r="G10" s="372"/>
      <c r="H10" s="369"/>
    </row>
    <row r="11" customHeight="1" spans="1:8">
      <c r="A11" s="369">
        <v>7</v>
      </c>
      <c r="B11" s="378" t="s">
        <v>17</v>
      </c>
      <c r="C11" s="373">
        <v>0.15</v>
      </c>
      <c r="D11" s="369"/>
      <c r="E11" s="369"/>
      <c r="F11" s="369"/>
      <c r="G11" s="372"/>
      <c r="H11" s="369"/>
    </row>
    <row r="12" customHeight="1" spans="1:8">
      <c r="A12" s="369">
        <v>8</v>
      </c>
      <c r="B12" s="370" t="s">
        <v>18</v>
      </c>
      <c r="C12" s="379">
        <v>2100</v>
      </c>
      <c r="D12" s="369"/>
      <c r="E12" s="369"/>
      <c r="F12" s="369"/>
      <c r="G12" s="372"/>
      <c r="H12" s="369"/>
    </row>
    <row r="13" customHeight="1" spans="1:8">
      <c r="A13" s="369">
        <v>10</v>
      </c>
      <c r="B13" s="370" t="s">
        <v>19</v>
      </c>
      <c r="C13" s="380">
        <v>0.035</v>
      </c>
      <c r="D13" s="381"/>
      <c r="E13" s="382"/>
      <c r="F13" s="369"/>
      <c r="G13" s="372"/>
      <c r="H13" s="369"/>
    </row>
    <row r="14" customHeight="1" spans="1:8">
      <c r="A14" s="369">
        <v>9</v>
      </c>
      <c r="B14" s="370" t="s">
        <v>20</v>
      </c>
      <c r="C14" s="369"/>
      <c r="D14" s="381">
        <v>500</v>
      </c>
      <c r="E14" s="382">
        <f>D14*C10/10000</f>
        <v>321.428571428571</v>
      </c>
      <c r="F14" s="383">
        <f>E14/(1+G2)</f>
        <v>274.725274725275</v>
      </c>
      <c r="G14" s="383">
        <f>E14-F14</f>
        <v>46.7032967032967</v>
      </c>
      <c r="H14" s="369"/>
    </row>
    <row r="15" customHeight="1" spans="1:8">
      <c r="A15" s="384" t="s">
        <v>21</v>
      </c>
      <c r="B15" s="385" t="s">
        <v>22</v>
      </c>
      <c r="C15" s="386"/>
      <c r="D15" s="369"/>
      <c r="E15" s="369"/>
      <c r="F15" s="372"/>
      <c r="G15" s="372"/>
      <c r="H15" s="369"/>
    </row>
    <row r="16" customHeight="1" spans="1:8">
      <c r="A16" s="369">
        <v>1</v>
      </c>
      <c r="B16" s="369" t="s">
        <v>23</v>
      </c>
      <c r="C16" s="371">
        <f>C5/C7</f>
        <v>750</v>
      </c>
      <c r="D16" s="369"/>
      <c r="E16" s="369"/>
      <c r="F16" s="369"/>
      <c r="G16" s="372"/>
      <c r="H16" s="369"/>
    </row>
    <row r="17" customHeight="1" spans="1:8">
      <c r="A17" s="369">
        <v>2</v>
      </c>
      <c r="B17" s="370" t="s">
        <v>24</v>
      </c>
      <c r="C17" s="387">
        <v>1</v>
      </c>
      <c r="D17" s="369"/>
      <c r="E17" s="369"/>
      <c r="F17" s="369"/>
      <c r="G17" s="372"/>
      <c r="H17" s="369"/>
    </row>
    <row r="18" customHeight="1" spans="1:8">
      <c r="A18" s="369">
        <v>3</v>
      </c>
      <c r="B18" s="370" t="s">
        <v>25</v>
      </c>
      <c r="C18" s="371">
        <v>8</v>
      </c>
      <c r="D18" s="369"/>
      <c r="E18" s="369"/>
      <c r="F18" s="369"/>
      <c r="G18" s="372"/>
      <c r="H18" s="369"/>
    </row>
    <row r="19" customHeight="1" spans="1:8">
      <c r="A19" s="369">
        <v>4</v>
      </c>
      <c r="B19" s="370" t="s">
        <v>26</v>
      </c>
      <c r="C19" s="373">
        <v>0.98</v>
      </c>
      <c r="D19" s="369"/>
      <c r="E19" s="369"/>
      <c r="F19" s="369"/>
      <c r="G19" s="372"/>
      <c r="H19" s="369"/>
    </row>
    <row r="20" customHeight="1" spans="1:8">
      <c r="A20" s="369">
        <v>5</v>
      </c>
      <c r="B20" s="370" t="s">
        <v>27</v>
      </c>
      <c r="C20" s="388">
        <v>0.98</v>
      </c>
      <c r="D20" s="369"/>
      <c r="E20" s="369"/>
      <c r="F20" s="369"/>
      <c r="G20" s="372"/>
      <c r="H20" s="369"/>
    </row>
    <row r="21" customHeight="1" spans="1:8">
      <c r="A21" s="369">
        <v>6</v>
      </c>
      <c r="B21" s="389" t="s">
        <v>28</v>
      </c>
      <c r="C21" s="389"/>
      <c r="D21" s="381">
        <v>500</v>
      </c>
      <c r="E21" s="381">
        <f>D21*C16/10000</f>
        <v>37.5</v>
      </c>
      <c r="F21" s="383">
        <f>E21/(1+G2)</f>
        <v>32.0512820512821</v>
      </c>
      <c r="G21" s="383">
        <f>E21-F21</f>
        <v>5.44871794871795</v>
      </c>
      <c r="H21" s="369"/>
    </row>
    <row r="22" customHeight="1" spans="1:8">
      <c r="A22" s="384" t="s">
        <v>29</v>
      </c>
      <c r="B22" s="384" t="s">
        <v>30</v>
      </c>
      <c r="C22" s="389"/>
      <c r="D22" s="381"/>
      <c r="E22" s="381"/>
      <c r="F22" s="383"/>
      <c r="G22" s="383"/>
      <c r="H22" s="369"/>
    </row>
    <row r="23" customHeight="1" spans="1:8">
      <c r="A23" s="351">
        <v>1</v>
      </c>
      <c r="B23" s="389" t="s">
        <v>31</v>
      </c>
      <c r="C23" s="389">
        <v>1</v>
      </c>
      <c r="D23" s="381">
        <v>15000</v>
      </c>
      <c r="E23" s="381">
        <f>D23*C23/10000</f>
        <v>1.5</v>
      </c>
      <c r="F23" s="383">
        <f>E23/(1+$G$2)</f>
        <v>1.28205128205128</v>
      </c>
      <c r="G23" s="383">
        <f>E23-F23</f>
        <v>0.217948717948718</v>
      </c>
      <c r="H23" s="369"/>
    </row>
    <row r="24" customHeight="1" spans="1:8">
      <c r="A24" s="369">
        <v>2</v>
      </c>
      <c r="B24" s="389" t="s">
        <v>32</v>
      </c>
      <c r="C24" s="389">
        <v>1</v>
      </c>
      <c r="D24" s="390">
        <v>15000</v>
      </c>
      <c r="E24" s="381">
        <f>D24*C24/10000</f>
        <v>1.5</v>
      </c>
      <c r="F24" s="383">
        <f>E24/(1+$G$2)</f>
        <v>1.28205128205128</v>
      </c>
      <c r="G24" s="383">
        <f>E24-F24</f>
        <v>0.217948717948718</v>
      </c>
      <c r="H24" s="369"/>
    </row>
    <row r="25" customHeight="1" spans="1:8">
      <c r="A25" s="369"/>
      <c r="B25" s="391" t="s">
        <v>33</v>
      </c>
      <c r="C25" s="389"/>
      <c r="D25" s="392">
        <f>E25/C5*10</f>
        <v>0.804285714285714</v>
      </c>
      <c r="E25" s="393">
        <f>E14+E21+E23+E24</f>
        <v>361.928571428571</v>
      </c>
      <c r="F25" s="383">
        <f>E25/(1+$G$2)</f>
        <v>309.340659340659</v>
      </c>
      <c r="G25" s="383">
        <f>E25-F25</f>
        <v>52.5879120879121</v>
      </c>
      <c r="H25" s="369"/>
    </row>
    <row r="26" customHeight="1" spans="1:8">
      <c r="A26" s="384" t="s">
        <v>34</v>
      </c>
      <c r="B26" s="384" t="s">
        <v>35</v>
      </c>
      <c r="C26" s="369"/>
      <c r="D26" s="369"/>
      <c r="E26" s="369"/>
      <c r="F26" s="372"/>
      <c r="G26" s="372"/>
      <c r="H26" s="369"/>
    </row>
    <row r="27" customHeight="1" spans="1:8">
      <c r="A27" s="369">
        <v>1</v>
      </c>
      <c r="B27" s="369" t="s">
        <v>36</v>
      </c>
      <c r="C27" s="369"/>
      <c r="D27" s="394"/>
      <c r="E27" s="394">
        <v>30</v>
      </c>
      <c r="F27" s="372"/>
      <c r="G27" s="372"/>
      <c r="H27" s="395">
        <f>E27/E33</f>
        <v>0.0632816031339461</v>
      </c>
    </row>
    <row r="28" customHeight="1" spans="1:8">
      <c r="A28" s="369">
        <v>2</v>
      </c>
      <c r="B28" s="369" t="s">
        <v>37</v>
      </c>
      <c r="C28" s="369"/>
      <c r="D28" s="381">
        <v>0</v>
      </c>
      <c r="E28" s="381">
        <v>30</v>
      </c>
      <c r="F28" s="372"/>
      <c r="G28" s="372"/>
      <c r="H28" s="369"/>
    </row>
    <row r="29" customHeight="1" spans="1:8">
      <c r="A29" s="384" t="s">
        <v>38</v>
      </c>
      <c r="B29" s="384" t="s">
        <v>39</v>
      </c>
      <c r="C29" s="369"/>
      <c r="D29" s="394"/>
      <c r="E29" s="394"/>
      <c r="F29" s="372"/>
      <c r="G29" s="372"/>
      <c r="H29" s="369"/>
    </row>
    <row r="30" customHeight="1" spans="1:8">
      <c r="A30" s="369">
        <v>1</v>
      </c>
      <c r="B30" s="389" t="s">
        <v>40</v>
      </c>
      <c r="C30" s="369"/>
      <c r="D30" s="394">
        <v>0</v>
      </c>
      <c r="E30" s="394">
        <v>20</v>
      </c>
      <c r="F30" s="372"/>
      <c r="G30" s="372"/>
      <c r="H30" s="369"/>
    </row>
    <row r="31" customHeight="1" spans="1:8">
      <c r="A31" s="369">
        <v>2</v>
      </c>
      <c r="B31" s="369" t="s">
        <v>41</v>
      </c>
      <c r="D31" s="394">
        <v>0.05</v>
      </c>
      <c r="E31" s="383">
        <f>'储能-投资参数'!G18*C10/10</f>
        <v>32.1428571428572</v>
      </c>
      <c r="F31" s="372"/>
      <c r="G31" s="372"/>
      <c r="H31" s="395">
        <f>E31/E33</f>
        <v>0.0678017176435137</v>
      </c>
    </row>
    <row r="32" s="350" customFormat="1" customHeight="1" spans="1:8">
      <c r="A32" s="389"/>
      <c r="B32" s="356" t="s">
        <v>42</v>
      </c>
      <c r="C32" s="389"/>
      <c r="D32" s="389"/>
      <c r="E32" s="396">
        <f>E27+E28+E30+E31</f>
        <v>112.142857142857</v>
      </c>
      <c r="F32" s="397"/>
      <c r="G32" s="397"/>
      <c r="H32" s="398"/>
    </row>
    <row r="33" customHeight="1" spans="1:8">
      <c r="A33" s="369"/>
      <c r="B33" s="356" t="s">
        <v>43</v>
      </c>
      <c r="C33" s="369"/>
      <c r="D33" s="399">
        <f>E33/C5*10</f>
        <v>1.05349206349206</v>
      </c>
      <c r="E33" s="396">
        <f>E25+E32</f>
        <v>474.071428571429</v>
      </c>
      <c r="F33" s="396">
        <f>F25</f>
        <v>309.340659340659</v>
      </c>
      <c r="G33" s="396">
        <f>G25</f>
        <v>52.5879120879121</v>
      </c>
      <c r="H33" s="369"/>
    </row>
    <row r="34" customHeight="1" spans="1:7">
      <c r="A34" s="353"/>
      <c r="B34" s="400"/>
      <c r="C34" s="400"/>
      <c r="D34" s="400"/>
      <c r="E34" s="400"/>
      <c r="F34" s="400"/>
      <c r="G34" s="400"/>
    </row>
    <row r="35" customHeight="1" spans="1:6">
      <c r="A35" s="353"/>
      <c r="B35" s="374" t="s">
        <v>44</v>
      </c>
      <c r="C35" s="374">
        <f>D33-D31</f>
        <v>1.00349206349206</v>
      </c>
      <c r="D35" s="374" t="s">
        <v>45</v>
      </c>
      <c r="E35" s="395">
        <f>E14/E33</f>
        <v>0.678017176435136</v>
      </c>
      <c r="F35" s="401">
        <v>0.1</v>
      </c>
    </row>
    <row r="36" customHeight="1" spans="2:5">
      <c r="B36" s="369" t="s">
        <v>46</v>
      </c>
      <c r="C36" s="402">
        <f>E25/E33</f>
        <v>0.763447340665964</v>
      </c>
      <c r="D36" s="369" t="s">
        <v>47</v>
      </c>
      <c r="E36" s="369">
        <v>1</v>
      </c>
    </row>
    <row r="37" customHeight="1" spans="2:5">
      <c r="B37" s="369" t="s">
        <v>48</v>
      </c>
      <c r="C37" s="402">
        <f>C11</f>
        <v>0.15</v>
      </c>
      <c r="D37" s="374" t="s">
        <v>49</v>
      </c>
      <c r="E37" s="403">
        <v>350</v>
      </c>
    </row>
    <row r="38" customHeight="1" spans="2:5">
      <c r="B38" s="369" t="s">
        <v>50</v>
      </c>
      <c r="C38" s="372">
        <f>F14*C37</f>
        <v>41.2087912087912</v>
      </c>
      <c r="D38" s="369" t="s">
        <v>51</v>
      </c>
      <c r="E38" s="372">
        <f>(F21+F23)*C37</f>
        <v>5</v>
      </c>
    </row>
    <row r="39" customHeight="1" spans="2:5">
      <c r="B39" s="369" t="s">
        <v>52</v>
      </c>
      <c r="C39" s="372">
        <f>F14-C38</f>
        <v>233.516483516484</v>
      </c>
      <c r="D39" s="374" t="s">
        <v>53</v>
      </c>
      <c r="E39" s="374">
        <f>F21+F23-E38</f>
        <v>28.3333333333333</v>
      </c>
    </row>
    <row r="40" customHeight="1" spans="2:5">
      <c r="B40" s="369" t="s">
        <v>54</v>
      </c>
      <c r="C40" s="372">
        <f>TRUNC('储能-投资参数'!G15/E37/E36)</f>
        <v>6</v>
      </c>
      <c r="D40" s="374" t="s">
        <v>55</v>
      </c>
      <c r="E40" s="374">
        <v>6</v>
      </c>
    </row>
    <row r="41" customHeight="1" spans="2:5">
      <c r="B41" s="369" t="s">
        <v>56</v>
      </c>
      <c r="C41" s="372">
        <f>(C39-C38)/C40</f>
        <v>32.0512820512821</v>
      </c>
      <c r="D41" s="374" t="s">
        <v>57</v>
      </c>
      <c r="E41" s="374">
        <f>(E39-E38)/E40</f>
        <v>3.88888888888889</v>
      </c>
    </row>
    <row r="42" customHeight="1" spans="2:5">
      <c r="B42" s="369" t="s">
        <v>58</v>
      </c>
      <c r="C42" s="369">
        <f>'储能-投资参数'!G15/E37/E36</f>
        <v>6</v>
      </c>
      <c r="D42" s="374" t="s">
        <v>59</v>
      </c>
      <c r="E42" s="374">
        <v>6</v>
      </c>
    </row>
    <row r="43" customHeight="1" spans="1:7">
      <c r="A43" s="404" t="s">
        <v>60</v>
      </c>
      <c r="B43" s="405"/>
      <c r="C43" s="405"/>
      <c r="D43" s="405"/>
      <c r="E43" s="405"/>
      <c r="F43" s="405"/>
      <c r="G43" s="405"/>
    </row>
    <row r="44" customHeight="1" spans="1:7">
      <c r="A44" s="405"/>
      <c r="B44" s="405"/>
      <c r="C44" s="405"/>
      <c r="D44" s="405"/>
      <c r="E44" s="405"/>
      <c r="F44" s="405"/>
      <c r="G44" s="405"/>
    </row>
    <row r="45" customHeight="1" spans="1:7">
      <c r="A45" s="405"/>
      <c r="B45" s="405"/>
      <c r="C45" s="405"/>
      <c r="D45" s="405"/>
      <c r="E45" s="405"/>
      <c r="F45" s="405"/>
      <c r="G45" s="405"/>
    </row>
    <row r="46" customHeight="1" spans="1:7">
      <c r="A46" s="405"/>
      <c r="B46" s="405"/>
      <c r="C46" s="405"/>
      <c r="D46" s="405"/>
      <c r="E46" s="405"/>
      <c r="F46" s="405"/>
      <c r="G46" s="405"/>
    </row>
  </sheetData>
  <sheetProtection password="DF0A" sheet="1" objects="1"/>
  <mergeCells count="9">
    <mergeCell ref="A2:B2"/>
    <mergeCell ref="D3:E3"/>
    <mergeCell ref="A3:A4"/>
    <mergeCell ref="B3:B4"/>
    <mergeCell ref="C3:C4"/>
    <mergeCell ref="F3:F4"/>
    <mergeCell ref="G3:G4"/>
    <mergeCell ref="H3:H4"/>
    <mergeCell ref="A43:G46"/>
  </mergeCells>
  <pageMargins left="0.7" right="0.7" top="0.75" bottom="0.75" header="0.3" footer="0.3"/>
  <pageSetup paperSize="9" orientation="portrait"/>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C1:P126"/>
  <sheetViews>
    <sheetView workbookViewId="0">
      <selection activeCell="E6" sqref="E6"/>
    </sheetView>
  </sheetViews>
  <sheetFormatPr defaultColWidth="10.7333333333333" defaultRowHeight="28.05" customHeight="1"/>
  <cols>
    <col min="1" max="3" width="10.7333333333333" style="1"/>
    <col min="4" max="4" width="13.8666666666667" style="1" customWidth="1"/>
    <col min="5" max="6" width="10.7333333333333" style="1"/>
    <col min="7" max="8" width="10.7333333333333" style="1" customWidth="1"/>
    <col min="9" max="9" width="10.7333333333333" style="1"/>
    <col min="10" max="10" width="10.7333333333333" style="1" customWidth="1"/>
    <col min="11" max="11" width="10.7333333333333" style="2" customWidth="1"/>
    <col min="12" max="13" width="10.7333333333333" style="2"/>
    <col min="14" max="16384" width="10.7333333333333" style="1"/>
  </cols>
  <sheetData>
    <row r="1" customHeight="1" spans="16:16">
      <c r="P1" s="7"/>
    </row>
    <row r="2" customHeight="1" spans="3:16">
      <c r="C2" s="3">
        <v>1</v>
      </c>
      <c r="D2" s="4" t="s">
        <v>1177</v>
      </c>
      <c r="E2" s="5"/>
      <c r="F2" s="6"/>
      <c r="G2" s="7"/>
      <c r="H2" s="7"/>
      <c r="I2" s="7"/>
      <c r="J2" s="7"/>
      <c r="P2" s="7"/>
    </row>
    <row r="3" customHeight="1" spans="4:16">
      <c r="D3" s="8" t="s">
        <v>1178</v>
      </c>
      <c r="E3" s="8" t="s">
        <v>1179</v>
      </c>
      <c r="F3" s="8" t="s">
        <v>72</v>
      </c>
      <c r="G3" s="8" t="s">
        <v>669</v>
      </c>
      <c r="H3" s="8" t="s">
        <v>75</v>
      </c>
      <c r="I3" s="8" t="s">
        <v>1180</v>
      </c>
      <c r="J3" s="26" t="s">
        <v>1181</v>
      </c>
      <c r="K3" s="27"/>
      <c r="L3" s="27"/>
      <c r="M3" s="27"/>
      <c r="P3" s="28"/>
    </row>
    <row r="4" customHeight="1" spans="4:16">
      <c r="D4" s="8"/>
      <c r="E4" s="8">
        <v>0</v>
      </c>
      <c r="F4" s="9">
        <f>'储能-计算界面-年'!C45</f>
        <v>0.0437673267871723</v>
      </c>
      <c r="G4" s="8">
        <f>'储能-投资参数'!G6</f>
        <v>-168.338607442453</v>
      </c>
      <c r="H4" s="8">
        <f>'储能-投资参数'!G10</f>
        <v>0.889115959316879</v>
      </c>
      <c r="I4" s="8">
        <f>'储能-投资参数'!G8</f>
        <v>0</v>
      </c>
      <c r="J4" s="26" t="e">
        <f>'储能-投资参数'!G9</f>
        <v>#DIV/0!</v>
      </c>
      <c r="K4" s="29"/>
      <c r="L4" s="29"/>
      <c r="M4" s="29"/>
      <c r="P4" s="28"/>
    </row>
    <row r="5" customHeight="1" spans="4:16">
      <c r="D5" s="8">
        <f>'储能-设备工程参数'!$D$33*(1+'储能-敏感性分析'!E5)</f>
        <v>0.790119047619048</v>
      </c>
      <c r="E5" s="10">
        <v>-0.25</v>
      </c>
      <c r="F5" s="9">
        <v>0.105388177342662</v>
      </c>
      <c r="G5" s="8">
        <v>-48.8278379711796</v>
      </c>
      <c r="H5" s="8">
        <v>0.717876934011299</v>
      </c>
      <c r="I5" s="8">
        <v>4.08674182301137</v>
      </c>
      <c r="J5" s="26" t="e">
        <v>#DIV/0!</v>
      </c>
      <c r="K5" s="30">
        <v>0</v>
      </c>
      <c r="L5" s="30">
        <v>0</v>
      </c>
      <c r="M5" s="30">
        <v>0</v>
      </c>
      <c r="P5" s="28"/>
    </row>
    <row r="6" customHeight="1" spans="4:16">
      <c r="D6" s="8">
        <f>'储能-设备工程参数'!$D$33*(1+'储能-敏感性分析'!E6)</f>
        <v>0.842793650793651</v>
      </c>
      <c r="E6" s="10">
        <v>-0.2</v>
      </c>
      <c r="F6" s="9">
        <v>0.0901470162116318</v>
      </c>
      <c r="G6" s="8">
        <v>-72.7299918654343</v>
      </c>
      <c r="H6" s="8">
        <v>0.752124739072415</v>
      </c>
      <c r="I6" s="8">
        <v>4.46329795868304</v>
      </c>
      <c r="J6" s="26" t="e">
        <v>#DIV/0!</v>
      </c>
      <c r="K6" s="30">
        <v>0</v>
      </c>
      <c r="L6" s="30">
        <v>0</v>
      </c>
      <c r="M6" s="30">
        <v>0</v>
      </c>
      <c r="P6" s="7"/>
    </row>
    <row r="7" customHeight="1" spans="4:16">
      <c r="D7" s="8">
        <f>'储能-设备工程参数'!$D$33*(1+'储能-敏感性分析'!E7)</f>
        <v>0.895468253968254</v>
      </c>
      <c r="E7" s="10">
        <v>-0.15</v>
      </c>
      <c r="F7" s="9">
        <v>0.076646915837838</v>
      </c>
      <c r="G7" s="8">
        <v>-96.6321457596888</v>
      </c>
      <c r="H7" s="8">
        <v>0.786372544133531</v>
      </c>
      <c r="I7" s="8">
        <v>4.84022429400994</v>
      </c>
      <c r="J7" s="26" t="e">
        <v>#DIV/0!</v>
      </c>
      <c r="K7" s="30">
        <v>0</v>
      </c>
      <c r="L7" s="30">
        <v>0</v>
      </c>
      <c r="M7" s="30">
        <v>0</v>
      </c>
      <c r="P7" s="7"/>
    </row>
    <row r="8" customHeight="1" spans="4:16">
      <c r="D8" s="8">
        <f>'储能-设备工程参数'!$D$33*(1+'储能-敏感性分析'!E8)</f>
        <v>0.948142857142857</v>
      </c>
      <c r="E8" s="10">
        <v>-0.1</v>
      </c>
      <c r="F8" s="9">
        <v>0.0645699195904463</v>
      </c>
      <c r="G8" s="8">
        <v>-120.534299653943</v>
      </c>
      <c r="H8" s="8">
        <v>0.820620349194647</v>
      </c>
      <c r="I8" s="8">
        <v>0</v>
      </c>
      <c r="J8" s="26" t="e">
        <v>#DIV/0!</v>
      </c>
      <c r="K8" s="30">
        <v>0</v>
      </c>
      <c r="L8" s="30">
        <v>0</v>
      </c>
      <c r="M8" s="30">
        <v>0</v>
      </c>
      <c r="P8" s="7"/>
    </row>
    <row r="9" customHeight="1" spans="4:16">
      <c r="D9" s="8">
        <f>'储能-设备工程参数'!$D$33*(1+'储能-敏感性分析'!E9)</f>
        <v>1.00081746031746</v>
      </c>
      <c r="E9" s="10">
        <v>-0.05</v>
      </c>
      <c r="F9" s="9">
        <v>0.0536730372126364</v>
      </c>
      <c r="G9" s="8">
        <v>-144.436453548198</v>
      </c>
      <c r="H9" s="8">
        <v>0.854868154255763</v>
      </c>
      <c r="I9" s="8">
        <v>0</v>
      </c>
      <c r="J9" s="26" t="e">
        <v>#DIV/0!</v>
      </c>
      <c r="K9" s="30">
        <v>0</v>
      </c>
      <c r="L9" s="30">
        <v>0</v>
      </c>
      <c r="M9" s="30">
        <v>0</v>
      </c>
      <c r="P9" s="7"/>
    </row>
    <row r="10" customHeight="1" spans="4:16">
      <c r="D10" s="11">
        <f>'储能-设备工程参数'!$D$33*(1+'储能-敏感性分析'!E10)</f>
        <v>1.05349206349206</v>
      </c>
      <c r="E10" s="12">
        <v>0</v>
      </c>
      <c r="F10" s="13">
        <v>0.0437673267871723</v>
      </c>
      <c r="G10" s="11">
        <v>-168.338607442453</v>
      </c>
      <c r="H10" s="11">
        <v>0.889115959316879</v>
      </c>
      <c r="I10" s="11">
        <v>0</v>
      </c>
      <c r="J10" s="31" t="e">
        <v>#DIV/0!</v>
      </c>
      <c r="K10" s="32">
        <v>0</v>
      </c>
      <c r="L10" s="32">
        <v>0</v>
      </c>
      <c r="M10" s="32">
        <v>0</v>
      </c>
      <c r="P10" s="7"/>
    </row>
    <row r="11" customHeight="1" spans="4:13">
      <c r="D11" s="8">
        <f>'储能-设备工程参数'!$D$33*(1+'储能-敏感性分析'!E11)</f>
        <v>1.10616666666667</v>
      </c>
      <c r="E11" s="10">
        <v>0.05</v>
      </c>
      <c r="F11" s="9">
        <v>0.034703566092481</v>
      </c>
      <c r="G11" s="8">
        <v>-192.240761336707</v>
      </c>
      <c r="H11" s="8">
        <v>0.923363764377995</v>
      </c>
      <c r="I11" s="8">
        <v>0</v>
      </c>
      <c r="J11" s="26" t="e">
        <v>#DIV/0!</v>
      </c>
      <c r="K11" s="30">
        <v>0</v>
      </c>
      <c r="L11" s="30">
        <v>0</v>
      </c>
      <c r="M11" s="30">
        <v>0</v>
      </c>
    </row>
    <row r="12" customHeight="1" spans="4:13">
      <c r="D12" s="8">
        <f>'储能-设备工程参数'!$D$33*(1+'储能-敏感性分析'!E12)</f>
        <v>1.15884126984127</v>
      </c>
      <c r="E12" s="10">
        <v>0.1</v>
      </c>
      <c r="F12" s="9">
        <v>0.0263622381603785</v>
      </c>
      <c r="G12" s="8">
        <v>-216.142915230962</v>
      </c>
      <c r="H12" s="8">
        <v>0.957611569439111</v>
      </c>
      <c r="I12" s="8">
        <v>0</v>
      </c>
      <c r="J12" s="26" t="e">
        <v>#DIV/0!</v>
      </c>
      <c r="K12" s="30">
        <v>0</v>
      </c>
      <c r="L12" s="30">
        <v>0</v>
      </c>
      <c r="M12" s="30">
        <v>0</v>
      </c>
    </row>
    <row r="13" customHeight="1" spans="4:13">
      <c r="D13" s="8">
        <f>'储能-设备工程参数'!$D$33*(1+'储能-敏感性分析'!E13)</f>
        <v>1.21151587301587</v>
      </c>
      <c r="E13" s="10">
        <v>0.15</v>
      </c>
      <c r="F13" s="9">
        <v>0.0186463996012345</v>
      </c>
      <c r="G13" s="8">
        <v>-240.045069125216</v>
      </c>
      <c r="H13" s="8">
        <v>0.991859374500227</v>
      </c>
      <c r="I13" s="8">
        <v>0</v>
      </c>
      <c r="J13" s="26" t="e">
        <v>#DIV/0!</v>
      </c>
      <c r="K13" s="30">
        <v>0</v>
      </c>
      <c r="L13" s="30">
        <v>0</v>
      </c>
      <c r="M13" s="30">
        <v>0</v>
      </c>
    </row>
    <row r="14" customHeight="1" spans="4:13">
      <c r="D14" s="8">
        <f>'储能-设备工程参数'!$D$33*(1+'储能-敏感性分析'!E14)</f>
        <v>1.26419047619048</v>
      </c>
      <c r="E14" s="10">
        <v>0.2</v>
      </c>
      <c r="F14" s="9">
        <v>0.0114765129937466</v>
      </c>
      <c r="G14" s="8">
        <v>-263.947223019471</v>
      </c>
      <c r="H14" s="8">
        <v>1.02610717956134</v>
      </c>
      <c r="I14" s="8">
        <v>0</v>
      </c>
      <c r="J14" s="26" t="e">
        <v>#DIV/0!</v>
      </c>
      <c r="K14" s="30">
        <v>0</v>
      </c>
      <c r="L14" s="30">
        <v>0</v>
      </c>
      <c r="M14" s="30">
        <v>0</v>
      </c>
    </row>
    <row r="15" customHeight="1" spans="4:13">
      <c r="D15" s="8">
        <f>'储能-设备工程参数'!$D$33*(1+'储能-敏感性分析'!E15)</f>
        <v>1.31686507936508</v>
      </c>
      <c r="E15" s="10">
        <v>0.25</v>
      </c>
      <c r="F15" s="9">
        <v>0.00478664197080714</v>
      </c>
      <c r="G15" s="8">
        <v>-287.849376913726</v>
      </c>
      <c r="H15" s="8">
        <v>1.06035498462246</v>
      </c>
      <c r="I15" s="8">
        <v>0</v>
      </c>
      <c r="J15" s="26" t="e">
        <v>#DIV/0!</v>
      </c>
      <c r="K15" s="30">
        <v>0</v>
      </c>
      <c r="L15" s="30">
        <v>0</v>
      </c>
      <c r="M15" s="30">
        <v>0</v>
      </c>
    </row>
    <row r="16" customHeight="1" spans="4:13">
      <c r="D16" s="7"/>
      <c r="E16" s="14"/>
      <c r="F16" s="15"/>
      <c r="G16" s="7"/>
      <c r="H16" s="7"/>
      <c r="I16" s="7"/>
      <c r="J16" s="7"/>
      <c r="K16" s="30"/>
      <c r="L16" s="30"/>
      <c r="M16" s="30"/>
    </row>
    <row r="17" customHeight="1" spans="3:13">
      <c r="C17" s="3">
        <v>2</v>
      </c>
      <c r="D17" s="16" t="s">
        <v>18</v>
      </c>
      <c r="E17" s="14"/>
      <c r="F17" s="17"/>
      <c r="G17" s="7"/>
      <c r="H17" s="7"/>
      <c r="I17" s="7"/>
      <c r="J17" s="7"/>
      <c r="K17" s="30"/>
      <c r="L17" s="30"/>
      <c r="M17" s="30"/>
    </row>
    <row r="18" customHeight="1" spans="4:13">
      <c r="D18" s="8" t="str">
        <f t="shared" ref="D18:J18" si="0">D3</f>
        <v>实际值</v>
      </c>
      <c r="E18" s="10" t="str">
        <f t="shared" si="0"/>
        <v>浮动比例</v>
      </c>
      <c r="F18" s="9" t="str">
        <f t="shared" si="0"/>
        <v>IRR</v>
      </c>
      <c r="G18" s="8" t="str">
        <f t="shared" si="0"/>
        <v>NPV</v>
      </c>
      <c r="H18" s="8" t="str">
        <f t="shared" si="0"/>
        <v>LCOE</v>
      </c>
      <c r="I18" s="8" t="str">
        <f t="shared" si="0"/>
        <v>静态回收年</v>
      </c>
      <c r="J18" s="26" t="str">
        <f t="shared" si="0"/>
        <v>动态回收年</v>
      </c>
      <c r="K18" s="27"/>
      <c r="L18" s="27"/>
      <c r="M18" s="27"/>
    </row>
    <row r="19" customHeight="1" spans="4:13">
      <c r="D19" s="8"/>
      <c r="E19" s="8">
        <v>0</v>
      </c>
      <c r="F19" s="9">
        <f>F4</f>
        <v>0.0437673267871723</v>
      </c>
      <c r="G19" s="18">
        <f>G4</f>
        <v>-168.338607442453</v>
      </c>
      <c r="H19" s="18">
        <f>H4</f>
        <v>0.889115959316879</v>
      </c>
      <c r="I19" s="18">
        <f>I4</f>
        <v>0</v>
      </c>
      <c r="J19" s="33" t="e">
        <f>J4</f>
        <v>#DIV/0!</v>
      </c>
      <c r="K19" s="27"/>
      <c r="L19" s="27"/>
      <c r="M19" s="27"/>
    </row>
    <row r="20" customHeight="1" spans="4:13">
      <c r="D20" s="8">
        <f>'储能-投资参数'!$G$15*(1+'储能-敏感性分析'!E20)</f>
        <v>1575</v>
      </c>
      <c r="E20" s="10">
        <v>-0.25</v>
      </c>
      <c r="F20" s="9">
        <v>0.000377798856235012</v>
      </c>
      <c r="G20" s="18">
        <v>-222.779221975074</v>
      </c>
      <c r="H20" s="18">
        <v>1.09267449013762</v>
      </c>
      <c r="I20" s="18">
        <v>0</v>
      </c>
      <c r="J20" s="33" t="e">
        <v>#DIV/0!</v>
      </c>
      <c r="K20" s="30">
        <v>0</v>
      </c>
      <c r="L20" s="30">
        <v>0</v>
      </c>
      <c r="M20" s="30">
        <v>0</v>
      </c>
    </row>
    <row r="21" customHeight="1" spans="4:13">
      <c r="D21" s="8">
        <f>'储能-投资参数'!$G$15*(1+'储能-敏感性分析'!E21)</f>
        <v>1680</v>
      </c>
      <c r="E21" s="10">
        <v>-0.2</v>
      </c>
      <c r="F21" s="9">
        <v>0.0121345191645064</v>
      </c>
      <c r="G21" s="18">
        <v>-210.327899652987</v>
      </c>
      <c r="H21" s="18">
        <v>1.04475007131514</v>
      </c>
      <c r="I21" s="18">
        <v>0</v>
      </c>
      <c r="J21" s="33" t="e">
        <v>#DIV/0!</v>
      </c>
      <c r="K21" s="30">
        <v>0</v>
      </c>
      <c r="L21" s="30">
        <v>0</v>
      </c>
      <c r="M21" s="30">
        <v>0</v>
      </c>
    </row>
    <row r="22" customHeight="1" spans="4:13">
      <c r="D22" s="8">
        <f>'储能-投资参数'!$G$15*(1+'储能-敏感性分析'!E22)</f>
        <v>1785</v>
      </c>
      <c r="E22" s="10">
        <v>-0.15</v>
      </c>
      <c r="F22" s="9">
        <v>0.017395616434337</v>
      </c>
      <c r="G22" s="18">
        <v>-203.960459861703</v>
      </c>
      <c r="H22" s="18">
        <v>1.00102915100899</v>
      </c>
      <c r="I22" s="18">
        <v>0</v>
      </c>
      <c r="J22" s="33" t="e">
        <v>#DIV/0!</v>
      </c>
      <c r="K22" s="30">
        <v>0</v>
      </c>
      <c r="L22" s="30">
        <v>0</v>
      </c>
      <c r="M22" s="30">
        <v>0</v>
      </c>
    </row>
    <row r="23" customHeight="1" spans="4:13">
      <c r="D23" s="8">
        <f>'储能-投资参数'!$G$15*(1+'储能-敏感性分析'!E23)</f>
        <v>1890</v>
      </c>
      <c r="E23" s="10">
        <v>-0.1</v>
      </c>
      <c r="F23" s="9">
        <v>0.0278664953903851</v>
      </c>
      <c r="G23" s="18">
        <v>-190.672566969147</v>
      </c>
      <c r="H23" s="18">
        <v>0.961123539980842</v>
      </c>
      <c r="I23" s="18">
        <v>0</v>
      </c>
      <c r="J23" s="33" t="e">
        <v>#DIV/0!</v>
      </c>
      <c r="K23" s="30">
        <v>0</v>
      </c>
      <c r="L23" s="30">
        <v>0</v>
      </c>
      <c r="M23" s="30">
        <v>0</v>
      </c>
    </row>
    <row r="24" customHeight="1" spans="4:13">
      <c r="D24" s="8">
        <f>'储能-投资参数'!$G$15*(1+'储能-敏感性分析'!E24)</f>
        <v>1995</v>
      </c>
      <c r="E24" s="10">
        <v>-0.05</v>
      </c>
      <c r="F24" s="9">
        <v>0.0377183502172405</v>
      </c>
      <c r="G24" s="18">
        <v>-177.384674076592</v>
      </c>
      <c r="H24" s="18">
        <v>0.923906777933358</v>
      </c>
      <c r="I24" s="18">
        <v>0</v>
      </c>
      <c r="J24" s="33" t="e">
        <v>#DIV/0!</v>
      </c>
      <c r="K24" s="30">
        <v>0</v>
      </c>
      <c r="L24" s="30">
        <v>0</v>
      </c>
      <c r="M24" s="30">
        <v>0</v>
      </c>
    </row>
    <row r="25" customHeight="1" spans="4:13">
      <c r="D25" s="8">
        <f>'储能-投资参数'!$G$15*(1+'储能-敏感性分析'!E25)</f>
        <v>2100</v>
      </c>
      <c r="E25" s="12">
        <v>0</v>
      </c>
      <c r="F25" s="9">
        <v>0.0437673267871723</v>
      </c>
      <c r="G25" s="18">
        <v>-168.338607442453</v>
      </c>
      <c r="H25" s="18">
        <v>0.889115959316879</v>
      </c>
      <c r="I25" s="18">
        <v>0</v>
      </c>
      <c r="J25" s="33" t="e">
        <v>#DIV/0!</v>
      </c>
      <c r="K25" s="30">
        <v>0</v>
      </c>
      <c r="L25" s="30">
        <v>0</v>
      </c>
      <c r="M25" s="30">
        <v>0</v>
      </c>
    </row>
    <row r="26" customHeight="1" spans="4:13">
      <c r="D26" s="8">
        <f>'储能-投资参数'!$G$15*(1+'储能-敏感性分析'!E26)</f>
        <v>2205</v>
      </c>
      <c r="E26" s="10">
        <v>0.05</v>
      </c>
      <c r="F26" s="9">
        <v>0.0437673267871723</v>
      </c>
      <c r="G26" s="18">
        <v>-168.338607442453</v>
      </c>
      <c r="H26" s="18">
        <v>0.889115959316879</v>
      </c>
      <c r="I26" s="18">
        <v>0</v>
      </c>
      <c r="J26" s="33" t="e">
        <v>#DIV/0!</v>
      </c>
      <c r="K26" s="30">
        <v>0</v>
      </c>
      <c r="L26" s="30">
        <v>0</v>
      </c>
      <c r="M26" s="30">
        <v>0</v>
      </c>
    </row>
    <row r="27" customHeight="1" spans="4:13">
      <c r="D27" s="8">
        <f>'储能-投资参数'!$G$15*(1+'储能-敏感性分析'!E27)</f>
        <v>2310</v>
      </c>
      <c r="E27" s="10">
        <v>0.1</v>
      </c>
      <c r="F27" s="9">
        <v>0.0437673267871723</v>
      </c>
      <c r="G27" s="18">
        <v>-168.338607442453</v>
      </c>
      <c r="H27" s="18">
        <v>0.889115959316879</v>
      </c>
      <c r="I27" s="18">
        <v>0</v>
      </c>
      <c r="J27" s="33" t="e">
        <v>#DIV/0!</v>
      </c>
      <c r="K27" s="30">
        <v>0</v>
      </c>
      <c r="L27" s="30">
        <v>0</v>
      </c>
      <c r="M27" s="30">
        <v>0</v>
      </c>
    </row>
    <row r="28" customHeight="1" spans="4:13">
      <c r="D28" s="8">
        <f>'储能-投资参数'!$G$15*(1+'储能-敏感性分析'!E28)</f>
        <v>2415</v>
      </c>
      <c r="E28" s="10">
        <v>0.15</v>
      </c>
      <c r="F28" s="9">
        <v>0.0437673267871723</v>
      </c>
      <c r="G28" s="18">
        <v>-168.338607442453</v>
      </c>
      <c r="H28" s="18">
        <v>0.889115959316879</v>
      </c>
      <c r="I28" s="18">
        <v>0</v>
      </c>
      <c r="J28" s="33" t="e">
        <v>#DIV/0!</v>
      </c>
      <c r="K28" s="30">
        <v>0</v>
      </c>
      <c r="L28" s="30">
        <v>0</v>
      </c>
      <c r="M28" s="30">
        <v>0</v>
      </c>
    </row>
    <row r="29" customHeight="1" spans="4:13">
      <c r="D29" s="8">
        <f>'储能-投资参数'!$G$15*(1+'储能-敏感性分析'!E29)</f>
        <v>2520</v>
      </c>
      <c r="E29" s="10">
        <v>0.2</v>
      </c>
      <c r="F29" s="9">
        <v>0.041393239315243</v>
      </c>
      <c r="G29" s="18">
        <v>-171.368483341322</v>
      </c>
      <c r="H29" s="18">
        <v>0.889115959316879</v>
      </c>
      <c r="I29" s="18">
        <v>0</v>
      </c>
      <c r="J29" s="33" t="e">
        <v>#DIV/0!</v>
      </c>
      <c r="K29" s="30">
        <v>0</v>
      </c>
      <c r="L29" s="30">
        <v>0</v>
      </c>
      <c r="M29" s="30">
        <v>0</v>
      </c>
    </row>
    <row r="30" customHeight="1" spans="4:13">
      <c r="D30" s="8">
        <f>'储能-投资参数'!$G$15*(1+'储能-敏感性分析'!E30)</f>
        <v>2625</v>
      </c>
      <c r="E30" s="10">
        <v>0.25</v>
      </c>
      <c r="F30" s="9">
        <v>0.041393239315243</v>
      </c>
      <c r="G30" s="18">
        <v>-171.368483341322</v>
      </c>
      <c r="H30" s="18">
        <v>0.889115959316879</v>
      </c>
      <c r="I30" s="18">
        <v>0</v>
      </c>
      <c r="J30" s="33" t="e">
        <v>#DIV/0!</v>
      </c>
      <c r="K30" s="30">
        <v>0</v>
      </c>
      <c r="L30" s="30">
        <v>0</v>
      </c>
      <c r="M30" s="30">
        <v>0</v>
      </c>
    </row>
    <row r="31" customHeight="1" spans="4:5">
      <c r="D31" s="7"/>
      <c r="E31" s="14"/>
    </row>
    <row r="32" customHeight="1" spans="3:6">
      <c r="C32" s="3">
        <v>3</v>
      </c>
      <c r="D32" s="11" t="s">
        <v>1182</v>
      </c>
      <c r="F32" s="3"/>
    </row>
    <row r="33" customHeight="1" spans="4:13">
      <c r="D33" s="8" t="s">
        <v>1178</v>
      </c>
      <c r="E33" s="8" t="s">
        <v>1179</v>
      </c>
      <c r="F33" s="8" t="s">
        <v>72</v>
      </c>
      <c r="G33" s="8" t="s">
        <v>669</v>
      </c>
      <c r="H33" s="8" t="s">
        <v>75</v>
      </c>
      <c r="I33" s="8" t="s">
        <v>1180</v>
      </c>
      <c r="J33" s="26" t="s">
        <v>1181</v>
      </c>
      <c r="K33" s="27"/>
      <c r="L33" s="27"/>
      <c r="M33" s="27"/>
    </row>
    <row r="34" customHeight="1" spans="4:13">
      <c r="D34" s="8"/>
      <c r="E34" s="8">
        <v>0</v>
      </c>
      <c r="F34" s="9">
        <f>F4</f>
        <v>0.0437673267871723</v>
      </c>
      <c r="G34" s="19">
        <f>G4</f>
        <v>-168.338607442453</v>
      </c>
      <c r="H34" s="19">
        <f>H4</f>
        <v>0.889115959316879</v>
      </c>
      <c r="I34" s="19">
        <f>I4</f>
        <v>0</v>
      </c>
      <c r="J34" s="34" t="e">
        <f>J4</f>
        <v>#DIV/0!</v>
      </c>
      <c r="K34" s="27"/>
      <c r="L34" s="27"/>
      <c r="M34" s="27"/>
    </row>
    <row r="35" customHeight="1" spans="4:13">
      <c r="D35" s="20">
        <f>'储能-投资参数'!$C$70*(1+'储能-敏感性分析'!E35)</f>
        <v>0</v>
      </c>
      <c r="E35" s="10">
        <v>-1</v>
      </c>
      <c r="F35" s="9">
        <v>0.0437673267871723</v>
      </c>
      <c r="G35" s="19">
        <v>-168.338607442453</v>
      </c>
      <c r="H35" s="19">
        <v>0.889115959316879</v>
      </c>
      <c r="I35" s="19">
        <v>0</v>
      </c>
      <c r="J35" s="34" t="e">
        <v>#DIV/0!</v>
      </c>
      <c r="K35" s="30">
        <v>0</v>
      </c>
      <c r="L35" s="30">
        <v>0</v>
      </c>
      <c r="M35" s="30">
        <v>0</v>
      </c>
    </row>
    <row r="36" customHeight="1" spans="4:13">
      <c r="D36" s="20">
        <f>'储能-投资参数'!$C$70*(1+'储能-敏感性分析'!E36)</f>
        <v>0</v>
      </c>
      <c r="E36" s="10">
        <v>-0.7</v>
      </c>
      <c r="F36" s="9">
        <v>0.0437673267871723</v>
      </c>
      <c r="G36" s="19">
        <v>-168.338607442453</v>
      </c>
      <c r="H36" s="19">
        <v>0.889115959316879</v>
      </c>
      <c r="I36" s="19">
        <v>0</v>
      </c>
      <c r="J36" s="34" t="e">
        <v>#DIV/0!</v>
      </c>
      <c r="K36" s="30">
        <v>0</v>
      </c>
      <c r="L36" s="30">
        <v>0</v>
      </c>
      <c r="M36" s="30">
        <v>0</v>
      </c>
    </row>
    <row r="37" customHeight="1" spans="4:13">
      <c r="D37" s="20">
        <f>'储能-投资参数'!$C$70*(1+'储能-敏感性分析'!E37)</f>
        <v>0</v>
      </c>
      <c r="E37" s="10">
        <v>-0.5</v>
      </c>
      <c r="F37" s="9">
        <v>0.0437673267871723</v>
      </c>
      <c r="G37" s="19">
        <v>-168.338607442453</v>
      </c>
      <c r="H37" s="19">
        <v>0.889115959316879</v>
      </c>
      <c r="I37" s="19">
        <v>0</v>
      </c>
      <c r="J37" s="34" t="e">
        <v>#DIV/0!</v>
      </c>
      <c r="K37" s="30">
        <v>0</v>
      </c>
      <c r="L37" s="30">
        <v>0</v>
      </c>
      <c r="M37" s="30">
        <v>0</v>
      </c>
    </row>
    <row r="38" customHeight="1" spans="4:13">
      <c r="D38" s="20">
        <f>'储能-投资参数'!$C$70*(1+'储能-敏感性分析'!E38)</f>
        <v>0</v>
      </c>
      <c r="E38" s="21">
        <v>-0.3</v>
      </c>
      <c r="F38" s="9">
        <v>0.0437673267871723</v>
      </c>
      <c r="G38" s="19">
        <v>-168.338607442453</v>
      </c>
      <c r="H38" s="19">
        <v>0.889115959316879</v>
      </c>
      <c r="I38" s="19">
        <v>0</v>
      </c>
      <c r="J38" s="34" t="e">
        <v>#DIV/0!</v>
      </c>
      <c r="K38" s="30">
        <v>0</v>
      </c>
      <c r="L38" s="30">
        <v>0</v>
      </c>
      <c r="M38" s="30">
        <v>0</v>
      </c>
    </row>
    <row r="39" customHeight="1" spans="4:13">
      <c r="D39" s="20">
        <f>'储能-投资参数'!$C$70*(1+'储能-敏感性分析'!E39)</f>
        <v>0</v>
      </c>
      <c r="E39" s="10">
        <v>-0.1</v>
      </c>
      <c r="F39" s="9">
        <v>0.0437673267871723</v>
      </c>
      <c r="G39" s="19">
        <v>-168.338607442453</v>
      </c>
      <c r="H39" s="19">
        <v>0.889115959316879</v>
      </c>
      <c r="I39" s="19">
        <v>0</v>
      </c>
      <c r="J39" s="34" t="e">
        <v>#DIV/0!</v>
      </c>
      <c r="K39" s="30">
        <v>0</v>
      </c>
      <c r="L39" s="30">
        <v>0</v>
      </c>
      <c r="M39" s="30">
        <v>0</v>
      </c>
    </row>
    <row r="40" customHeight="1" spans="4:14">
      <c r="D40" s="11">
        <f>'储能-投资参数'!$C$70*(1+'储能-敏感性分析'!E40)</f>
        <v>0</v>
      </c>
      <c r="E40" s="12">
        <v>0</v>
      </c>
      <c r="F40" s="13">
        <v>0.0437673267871723</v>
      </c>
      <c r="G40" s="22">
        <v>-168.338607442453</v>
      </c>
      <c r="H40" s="22">
        <v>0.889115959316879</v>
      </c>
      <c r="I40" s="22">
        <v>0</v>
      </c>
      <c r="J40" s="35" t="e">
        <v>#DIV/0!</v>
      </c>
      <c r="K40" s="32">
        <v>0</v>
      </c>
      <c r="L40" s="32">
        <v>0</v>
      </c>
      <c r="M40" s="32">
        <v>0</v>
      </c>
      <c r="N40" s="36"/>
    </row>
    <row r="41" customHeight="1" spans="4:14">
      <c r="D41" s="20">
        <f>'储能-投资参数'!$C$70*(1+'储能-敏感性分析'!E41)</f>
        <v>0</v>
      </c>
      <c r="E41" s="10">
        <v>0.5</v>
      </c>
      <c r="F41" s="9">
        <v>0.0437673267871723</v>
      </c>
      <c r="G41" s="19">
        <v>-168.338607442453</v>
      </c>
      <c r="H41" s="19">
        <v>0.889115959316879</v>
      </c>
      <c r="I41" s="19">
        <v>0</v>
      </c>
      <c r="J41" s="34" t="e">
        <v>#DIV/0!</v>
      </c>
      <c r="K41" s="32">
        <v>0</v>
      </c>
      <c r="L41" s="32">
        <v>0</v>
      </c>
      <c r="M41" s="32">
        <v>0</v>
      </c>
      <c r="N41" s="36"/>
    </row>
    <row r="42" customHeight="1" spans="4:15">
      <c r="D42" s="20">
        <f>'储能-投资参数'!$C$70*(1+'储能-敏感性分析'!E42)</f>
        <v>0</v>
      </c>
      <c r="E42" s="10">
        <v>1</v>
      </c>
      <c r="F42" s="9">
        <v>0.0437673267871723</v>
      </c>
      <c r="G42" s="19">
        <v>-168.338607442453</v>
      </c>
      <c r="H42" s="19">
        <v>0.889115959316879</v>
      </c>
      <c r="I42" s="19">
        <v>0</v>
      </c>
      <c r="J42" s="34" t="e">
        <v>#DIV/0!</v>
      </c>
      <c r="K42" s="32">
        <v>0</v>
      </c>
      <c r="L42" s="32">
        <v>0</v>
      </c>
      <c r="M42" s="32">
        <v>0</v>
      </c>
      <c r="N42" s="36"/>
      <c r="O42" s="36"/>
    </row>
    <row r="43" customHeight="1" spans="4:15">
      <c r="D43" s="20">
        <f>'储能-投资参数'!$C$70*(1+'储能-敏感性分析'!E43)</f>
        <v>0</v>
      </c>
      <c r="E43" s="10">
        <v>2</v>
      </c>
      <c r="F43" s="9">
        <v>0.0437673267871723</v>
      </c>
      <c r="G43" s="19">
        <v>-168.338607442453</v>
      </c>
      <c r="H43" s="19">
        <v>0.889115959316879</v>
      </c>
      <c r="I43" s="19">
        <v>0</v>
      </c>
      <c r="J43" s="34" t="e">
        <v>#DIV/0!</v>
      </c>
      <c r="K43" s="32">
        <v>0</v>
      </c>
      <c r="L43" s="32">
        <v>0</v>
      </c>
      <c r="M43" s="32">
        <v>0</v>
      </c>
      <c r="N43" s="36"/>
      <c r="O43" s="36"/>
    </row>
    <row r="44" customHeight="1" spans="4:15">
      <c r="D44" s="20">
        <f>'储能-投资参数'!$C$70*(1+'储能-敏感性分析'!E44)</f>
        <v>0</v>
      </c>
      <c r="E44" s="10">
        <v>5</v>
      </c>
      <c r="F44" s="9">
        <v>0.0437673267871723</v>
      </c>
      <c r="G44" s="19">
        <v>-168.338607442453</v>
      </c>
      <c r="H44" s="19">
        <v>0.889115959316879</v>
      </c>
      <c r="I44" s="19">
        <v>0</v>
      </c>
      <c r="J44" s="34" t="e">
        <v>#DIV/0!</v>
      </c>
      <c r="K44" s="32">
        <v>0</v>
      </c>
      <c r="L44" s="32">
        <v>0</v>
      </c>
      <c r="M44" s="32">
        <v>0</v>
      </c>
      <c r="N44" s="36"/>
      <c r="O44" s="36"/>
    </row>
    <row r="45" customHeight="1" spans="4:15">
      <c r="D45" s="20">
        <f>'储能-投资参数'!$C$70*(1+'储能-敏感性分析'!E45)</f>
        <v>0</v>
      </c>
      <c r="E45" s="10">
        <v>10</v>
      </c>
      <c r="F45" s="9">
        <v>0.0437673267871723</v>
      </c>
      <c r="G45" s="19">
        <v>-168.338607442453</v>
      </c>
      <c r="H45" s="19">
        <v>0.889115959316879</v>
      </c>
      <c r="I45" s="19">
        <v>0</v>
      </c>
      <c r="J45" s="34" t="e">
        <v>#DIV/0!</v>
      </c>
      <c r="K45" s="32">
        <v>0</v>
      </c>
      <c r="L45" s="32">
        <v>0</v>
      </c>
      <c r="M45" s="32">
        <v>0</v>
      </c>
      <c r="N45" s="36"/>
      <c r="O45" s="36"/>
    </row>
    <row r="46" customHeight="1" spans="5:15">
      <c r="E46" s="23"/>
      <c r="K46" s="37"/>
      <c r="L46" s="37"/>
      <c r="M46" s="37"/>
      <c r="N46" s="36"/>
      <c r="O46" s="36"/>
    </row>
    <row r="47" customHeight="1" spans="3:15">
      <c r="C47" s="3">
        <v>4</v>
      </c>
      <c r="D47" s="16" t="s">
        <v>1183</v>
      </c>
      <c r="F47" s="3"/>
      <c r="K47" s="37"/>
      <c r="L47" s="37"/>
      <c r="M47" s="37"/>
      <c r="N47" s="36"/>
      <c r="O47" s="36"/>
    </row>
    <row r="48" customHeight="1" spans="3:15">
      <c r="C48" s="8" t="s">
        <v>1184</v>
      </c>
      <c r="D48" s="8" t="s">
        <v>1178</v>
      </c>
      <c r="E48" s="8" t="s">
        <v>1179</v>
      </c>
      <c r="F48" s="8" t="s">
        <v>72</v>
      </c>
      <c r="G48" s="8" t="s">
        <v>669</v>
      </c>
      <c r="H48" s="8" t="s">
        <v>75</v>
      </c>
      <c r="I48" s="8" t="s">
        <v>1180</v>
      </c>
      <c r="J48" s="26" t="s">
        <v>1181</v>
      </c>
      <c r="K48" s="38"/>
      <c r="L48" s="38"/>
      <c r="M48" s="38"/>
      <c r="N48" s="36"/>
      <c r="O48" s="36"/>
    </row>
    <row r="49" customHeight="1" spans="3:15">
      <c r="C49" s="8"/>
      <c r="D49" s="8"/>
      <c r="E49" s="8">
        <v>0</v>
      </c>
      <c r="F49" s="9">
        <f>F34</f>
        <v>0.0437673267871723</v>
      </c>
      <c r="G49" s="19">
        <f>G34</f>
        <v>-168.338607442453</v>
      </c>
      <c r="H49" s="19">
        <f>H34</f>
        <v>0.889115959316879</v>
      </c>
      <c r="I49" s="19">
        <f>I34</f>
        <v>0</v>
      </c>
      <c r="J49" s="34" t="e">
        <f>J34</f>
        <v>#DIV/0!</v>
      </c>
      <c r="K49" s="38"/>
      <c r="L49" s="38"/>
      <c r="M49" s="38"/>
      <c r="N49" s="36"/>
      <c r="O49" s="36"/>
    </row>
    <row r="50" customHeight="1" spans="3:15">
      <c r="C50" s="9">
        <f>D50/'储能-投资参数'!$C$7*100%</f>
        <v>5e-5</v>
      </c>
      <c r="D50" s="8">
        <f>'储能-投资参数'!$C$62*(1+'储能-敏感性分析'!E50)</f>
        <v>0.0237035714285714</v>
      </c>
      <c r="E50" s="10">
        <v>-0.9</v>
      </c>
      <c r="F50" s="9">
        <v>0.044430234363718</v>
      </c>
      <c r="G50" s="24">
        <v>-167.147112648354</v>
      </c>
      <c r="H50" s="24">
        <v>0.887523633947789</v>
      </c>
      <c r="I50" s="24">
        <v>0</v>
      </c>
      <c r="J50" s="39" t="e">
        <v>#DIV/0!</v>
      </c>
      <c r="K50" s="32">
        <v>0</v>
      </c>
      <c r="L50" s="32">
        <v>0</v>
      </c>
      <c r="M50" s="32">
        <v>0</v>
      </c>
      <c r="N50" s="36"/>
      <c r="O50" s="36"/>
    </row>
    <row r="51" customHeight="1" spans="3:15">
      <c r="C51" s="9">
        <f>D51/'储能-投资参数'!$C$7*100%</f>
        <v>0.00015</v>
      </c>
      <c r="D51" s="8">
        <f>'储能-投资参数'!$C$62*(1+'储能-敏感性分析'!E51)</f>
        <v>0.0711107142857143</v>
      </c>
      <c r="E51" s="10">
        <v>-0.7</v>
      </c>
      <c r="F51" s="9">
        <v>0.0442829682570189</v>
      </c>
      <c r="G51" s="24">
        <v>-167.411889269264</v>
      </c>
      <c r="H51" s="24">
        <v>0.887877484029809</v>
      </c>
      <c r="I51" s="24">
        <v>0</v>
      </c>
      <c r="J51" s="39" t="e">
        <v>#DIV/0!</v>
      </c>
      <c r="K51" s="32">
        <v>0</v>
      </c>
      <c r="L51" s="32">
        <v>0</v>
      </c>
      <c r="M51" s="32">
        <v>0</v>
      </c>
      <c r="N51" s="36"/>
      <c r="O51" s="36"/>
    </row>
    <row r="52" customHeight="1" spans="3:15">
      <c r="C52" s="9">
        <f>D52/'储能-投资参数'!$C$7*100%</f>
        <v>0.00025</v>
      </c>
      <c r="D52" s="8">
        <f>'储能-投资参数'!$C$62*(1+'储能-敏感性分析'!E52)</f>
        <v>0.118517857142857</v>
      </c>
      <c r="E52" s="10">
        <v>-0.5</v>
      </c>
      <c r="F52" s="9">
        <v>0.0441356754920252</v>
      </c>
      <c r="G52" s="24">
        <v>-167.676665890175</v>
      </c>
      <c r="H52" s="24">
        <v>0.888231334111829</v>
      </c>
      <c r="I52" s="24">
        <v>0</v>
      </c>
      <c r="J52" s="39" t="e">
        <v>#DIV/0!</v>
      </c>
      <c r="K52" s="32">
        <v>0</v>
      </c>
      <c r="L52" s="32">
        <v>0</v>
      </c>
      <c r="M52" s="32">
        <v>0</v>
      </c>
      <c r="N52" s="36"/>
      <c r="O52" s="36"/>
    </row>
    <row r="53" customHeight="1" spans="3:15">
      <c r="C53" s="9">
        <f>D53/'储能-投资参数'!$C$7*100%</f>
        <v>0.00035</v>
      </c>
      <c r="D53" s="8">
        <f>'储能-投资参数'!$C$62*(1+'储能-敏感性分析'!E53)</f>
        <v>0.165925</v>
      </c>
      <c r="E53" s="21">
        <v>-0.3</v>
      </c>
      <c r="F53" s="9">
        <v>0.0439883560440133</v>
      </c>
      <c r="G53" s="24">
        <v>-167.941442511086</v>
      </c>
      <c r="H53" s="24">
        <v>0.888585184193849</v>
      </c>
      <c r="I53" s="24">
        <v>0</v>
      </c>
      <c r="J53" s="39" t="e">
        <v>#DIV/0!</v>
      </c>
      <c r="K53" s="32">
        <v>0</v>
      </c>
      <c r="L53" s="32">
        <v>0</v>
      </c>
      <c r="M53" s="32">
        <v>0</v>
      </c>
      <c r="N53" s="36"/>
      <c r="O53" s="36"/>
    </row>
    <row r="54" customHeight="1" spans="3:15">
      <c r="C54" s="9">
        <f>D54/'储能-投资参数'!$C$7*100%</f>
        <v>0.00045</v>
      </c>
      <c r="D54" s="8">
        <f>'储能-投资参数'!$C$62*(1+'储能-敏感性分析'!E54)</f>
        <v>0.213332142857143</v>
      </c>
      <c r="E54" s="10">
        <v>-0.1</v>
      </c>
      <c r="F54" s="9">
        <v>0.0438410098882265</v>
      </c>
      <c r="G54" s="24">
        <v>-168.206219131997</v>
      </c>
      <c r="H54" s="24">
        <v>0.888939034275869</v>
      </c>
      <c r="I54" s="24">
        <v>0</v>
      </c>
      <c r="J54" s="39" t="e">
        <v>#DIV/0!</v>
      </c>
      <c r="K54" s="32">
        <v>0</v>
      </c>
      <c r="L54" s="32">
        <v>0</v>
      </c>
      <c r="M54" s="32">
        <v>0</v>
      </c>
      <c r="N54" s="36"/>
      <c r="O54" s="36"/>
    </row>
    <row r="55" customHeight="1" spans="3:15">
      <c r="C55" s="13">
        <f>D55/'储能-投资参数'!$C$7*100%</f>
        <v>0.0005</v>
      </c>
      <c r="D55" s="11">
        <f>'储能-投资参数'!$C$62*(1+'储能-敏感性分析'!E55)</f>
        <v>0.237035714285714</v>
      </c>
      <c r="E55" s="12">
        <v>0</v>
      </c>
      <c r="F55" s="13">
        <v>0.0437673267871723</v>
      </c>
      <c r="G55" s="25">
        <v>-168.338607442453</v>
      </c>
      <c r="H55" s="25">
        <v>0.889115959316879</v>
      </c>
      <c r="I55" s="25">
        <v>0</v>
      </c>
      <c r="J55" s="40" t="e">
        <v>#DIV/0!</v>
      </c>
      <c r="K55" s="32">
        <v>0</v>
      </c>
      <c r="L55" s="32">
        <v>0</v>
      </c>
      <c r="M55" s="32">
        <v>0</v>
      </c>
      <c r="N55" s="36"/>
      <c r="O55" s="36"/>
    </row>
    <row r="56" customHeight="1" spans="3:15">
      <c r="C56" s="9">
        <f>D56/'储能-投资参数'!$C$7*100%</f>
        <v>0.00055</v>
      </c>
      <c r="D56" s="8">
        <f>'储能-投资参数'!$C$62*(1+'储能-敏感性分析'!E56)</f>
        <v>0.260739285714286</v>
      </c>
      <c r="E56" s="10">
        <v>0.1</v>
      </c>
      <c r="F56" s="9">
        <v>0.0436936369998762</v>
      </c>
      <c r="G56" s="24">
        <v>-168.470995752908</v>
      </c>
      <c r="H56" s="24">
        <v>0.889292884357889</v>
      </c>
      <c r="I56" s="24">
        <v>0</v>
      </c>
      <c r="J56" s="39" t="e">
        <v>#DIV/0!</v>
      </c>
      <c r="K56" s="32">
        <v>0</v>
      </c>
      <c r="L56" s="32">
        <v>0</v>
      </c>
      <c r="M56" s="32">
        <v>0</v>
      </c>
      <c r="N56" s="36"/>
      <c r="O56" s="36"/>
    </row>
    <row r="57" customHeight="1" spans="3:15">
      <c r="C57" s="9">
        <f>D57/'储能-投资参数'!$C$7*100%</f>
        <v>0.00065</v>
      </c>
      <c r="D57" s="8">
        <f>'储能-投资参数'!$C$62*(1+'储能-敏感性分析'!E57)</f>
        <v>0.308146428571429</v>
      </c>
      <c r="E57" s="10">
        <v>0.3</v>
      </c>
      <c r="F57" s="9">
        <v>0.0435462373541411</v>
      </c>
      <c r="G57" s="24">
        <v>-168.735772373819</v>
      </c>
      <c r="H57" s="24">
        <v>0.889646734439909</v>
      </c>
      <c r="I57" s="24">
        <v>0</v>
      </c>
      <c r="J57" s="39" t="e">
        <v>#DIV/0!</v>
      </c>
      <c r="K57" s="32">
        <v>0</v>
      </c>
      <c r="L57" s="32">
        <v>0</v>
      </c>
      <c r="M57" s="32">
        <v>0</v>
      </c>
      <c r="N57" s="36"/>
      <c r="O57" s="36"/>
    </row>
    <row r="58" customHeight="1" spans="3:15">
      <c r="C58" s="9">
        <f>D58/'储能-投资参数'!$C$7*100%</f>
        <v>0.00075</v>
      </c>
      <c r="D58" s="8">
        <f>'储能-投资参数'!$C$62*(1+'储能-敏感性分析'!E58)</f>
        <v>0.355553571428571</v>
      </c>
      <c r="E58" s="10">
        <v>0.5</v>
      </c>
      <c r="F58" s="9">
        <v>0.0433988109261669</v>
      </c>
      <c r="G58" s="24">
        <v>-169.00054899473</v>
      </c>
      <c r="H58" s="24">
        <v>0.890000584521929</v>
      </c>
      <c r="I58" s="24">
        <v>0</v>
      </c>
      <c r="J58" s="39" t="e">
        <v>#DIV/0!</v>
      </c>
      <c r="K58" s="32">
        <v>0</v>
      </c>
      <c r="L58" s="32">
        <v>0</v>
      </c>
      <c r="M58" s="32">
        <v>0</v>
      </c>
      <c r="N58" s="36"/>
      <c r="O58" s="36"/>
    </row>
    <row r="59" customHeight="1" spans="3:15">
      <c r="C59" s="9">
        <f>D59/'储能-投资参数'!$C$7*100%</f>
        <v>0.00085</v>
      </c>
      <c r="D59" s="8">
        <f>'储能-投资参数'!$C$62*(1+'储能-敏感性分析'!E59)</f>
        <v>0.402960714285714</v>
      </c>
      <c r="E59" s="10">
        <v>0.7</v>
      </c>
      <c r="F59" s="9">
        <v>0.0432513576910667</v>
      </c>
      <c r="G59" s="24">
        <v>-169.265325615641</v>
      </c>
      <c r="H59" s="24">
        <v>0.890354434603949</v>
      </c>
      <c r="I59" s="24">
        <v>0</v>
      </c>
      <c r="J59" s="39" t="e">
        <v>#DIV/0!</v>
      </c>
      <c r="K59" s="32">
        <v>0</v>
      </c>
      <c r="L59" s="32">
        <v>0</v>
      </c>
      <c r="M59" s="32">
        <v>0</v>
      </c>
      <c r="N59" s="36"/>
      <c r="O59" s="36"/>
    </row>
    <row r="60" customHeight="1" spans="3:15">
      <c r="C60" s="9">
        <f>D60/'储能-投资参数'!$C$7*100%</f>
        <v>0.00095</v>
      </c>
      <c r="D60" s="8">
        <f>'储能-投资参数'!$C$62*(1+'储能-敏感性分析'!E60)</f>
        <v>0.450367857142857</v>
      </c>
      <c r="E60" s="10">
        <v>0.9</v>
      </c>
      <c r="F60" s="9">
        <v>0.043103877623921</v>
      </c>
      <c r="G60" s="24">
        <v>-169.530102236552</v>
      </c>
      <c r="H60" s="24">
        <v>0.890708284685969</v>
      </c>
      <c r="I60" s="24">
        <v>0</v>
      </c>
      <c r="J60" s="39" t="e">
        <v>#DIV/0!</v>
      </c>
      <c r="K60" s="32">
        <v>0</v>
      </c>
      <c r="L60" s="32">
        <v>0</v>
      </c>
      <c r="M60" s="32">
        <v>0</v>
      </c>
      <c r="N60" s="36"/>
      <c r="O60" s="36"/>
    </row>
    <row r="61" customHeight="1" spans="11:15">
      <c r="K61" s="37"/>
      <c r="L61" s="37"/>
      <c r="M61" s="37"/>
      <c r="N61" s="36"/>
      <c r="O61" s="36"/>
    </row>
    <row r="62" customHeight="1" spans="3:15">
      <c r="C62" s="3">
        <v>5</v>
      </c>
      <c r="D62" s="11" t="s">
        <v>1185</v>
      </c>
      <c r="F62" s="3"/>
      <c r="K62" s="37"/>
      <c r="L62" s="37"/>
      <c r="M62" s="37"/>
      <c r="N62" s="36"/>
      <c r="O62" s="36"/>
    </row>
    <row r="63" customHeight="1" spans="4:15">
      <c r="D63" s="8" t="s">
        <v>1178</v>
      </c>
      <c r="E63" s="8" t="s">
        <v>1179</v>
      </c>
      <c r="F63" s="8" t="s">
        <v>72</v>
      </c>
      <c r="G63" s="8" t="s">
        <v>669</v>
      </c>
      <c r="H63" s="8" t="s">
        <v>75</v>
      </c>
      <c r="I63" s="8" t="s">
        <v>1180</v>
      </c>
      <c r="J63" s="26" t="s">
        <v>1181</v>
      </c>
      <c r="K63" s="38"/>
      <c r="L63" s="38"/>
      <c r="M63" s="38"/>
      <c r="N63" s="36"/>
      <c r="O63" s="36"/>
    </row>
    <row r="64" customHeight="1" spans="4:15">
      <c r="D64" s="8"/>
      <c r="E64" s="8">
        <v>0</v>
      </c>
      <c r="F64" s="9">
        <f>F49</f>
        <v>0.0437673267871723</v>
      </c>
      <c r="G64" s="19">
        <f>G49</f>
        <v>-168.338607442453</v>
      </c>
      <c r="H64" s="19">
        <f>H49</f>
        <v>0.889115959316879</v>
      </c>
      <c r="I64" s="19">
        <f>I49</f>
        <v>0</v>
      </c>
      <c r="J64" s="34" t="e">
        <f>J49</f>
        <v>#DIV/0!</v>
      </c>
      <c r="K64" s="38"/>
      <c r="L64" s="38"/>
      <c r="M64" s="38"/>
      <c r="N64" s="36"/>
      <c r="O64" s="36"/>
    </row>
    <row r="65" customHeight="1" spans="4:15">
      <c r="D65" s="8">
        <f>'储能-设备工程参数'!$D$31*(1+'储能-敏感性分析'!E65)</f>
        <v>0.005</v>
      </c>
      <c r="E65" s="10">
        <v>-0.9</v>
      </c>
      <c r="F65" s="9">
        <v>0.0559839809691676</v>
      </c>
      <c r="G65" s="24">
        <v>-139.167679833072</v>
      </c>
      <c r="H65" s="24">
        <v>0.847318879160929</v>
      </c>
      <c r="I65" s="24">
        <v>0</v>
      </c>
      <c r="J65" s="39" t="e">
        <v>#DIV/0!</v>
      </c>
      <c r="K65" s="32">
        <v>0</v>
      </c>
      <c r="L65" s="32">
        <v>0</v>
      </c>
      <c r="M65" s="32">
        <v>0</v>
      </c>
      <c r="N65" s="36"/>
      <c r="O65" s="36"/>
    </row>
    <row r="66" customHeight="1" spans="4:15">
      <c r="D66" s="8">
        <f>'储能-设备工程参数'!$D$31*(1+'储能-敏感性分析'!E66)</f>
        <v>0.015</v>
      </c>
      <c r="E66" s="10">
        <v>-0.7</v>
      </c>
      <c r="F66" s="9">
        <v>0.053147582294329</v>
      </c>
      <c r="G66" s="24">
        <v>-145.650108190712</v>
      </c>
      <c r="H66" s="24">
        <v>0.856607119195585</v>
      </c>
      <c r="I66" s="24">
        <v>0</v>
      </c>
      <c r="J66" s="39" t="e">
        <v>#DIV/0!</v>
      </c>
      <c r="K66" s="32">
        <v>0</v>
      </c>
      <c r="L66" s="32">
        <v>0</v>
      </c>
      <c r="M66" s="32">
        <v>0</v>
      </c>
      <c r="N66" s="36"/>
      <c r="O66" s="36"/>
    </row>
    <row r="67" customHeight="1" spans="4:15">
      <c r="D67" s="8">
        <f>'储能-设备工程参数'!$D$31*(1+'储能-敏感性分析'!E67)</f>
        <v>0.025</v>
      </c>
      <c r="E67" s="10">
        <v>-0.5</v>
      </c>
      <c r="F67" s="9">
        <v>0.0503832479385955</v>
      </c>
      <c r="G67" s="24">
        <v>-152.132536548352</v>
      </c>
      <c r="H67" s="24">
        <v>0.86589535923024</v>
      </c>
      <c r="I67" s="24">
        <v>0</v>
      </c>
      <c r="J67" s="39" t="e">
        <v>#DIV/0!</v>
      </c>
      <c r="K67" s="32">
        <v>0</v>
      </c>
      <c r="L67" s="32">
        <v>0</v>
      </c>
      <c r="M67" s="32">
        <v>0</v>
      </c>
      <c r="N67" s="36"/>
      <c r="O67" s="36"/>
    </row>
    <row r="68" customHeight="1" spans="4:15">
      <c r="D68" s="8">
        <f>'储能-设备工程参数'!$D$31*(1+'储能-敏感性分析'!E68)</f>
        <v>0.035</v>
      </c>
      <c r="E68" s="21">
        <v>-0.3</v>
      </c>
      <c r="F68" s="9">
        <v>0.0476878028561256</v>
      </c>
      <c r="G68" s="24">
        <v>-158.614964905992</v>
      </c>
      <c r="H68" s="24">
        <v>0.875183599264896</v>
      </c>
      <c r="I68" s="24">
        <v>0</v>
      </c>
      <c r="J68" s="39" t="e">
        <v>#DIV/0!</v>
      </c>
      <c r="K68" s="32">
        <v>0</v>
      </c>
      <c r="L68" s="32">
        <v>0</v>
      </c>
      <c r="M68" s="32">
        <v>0</v>
      </c>
      <c r="N68" s="36"/>
      <c r="O68" s="36"/>
    </row>
    <row r="69" customHeight="1" spans="4:15">
      <c r="D69" s="8">
        <f>'储能-设备工程参数'!$D$31*(1+'储能-敏感性分析'!E69)</f>
        <v>0.045</v>
      </c>
      <c r="E69" s="10">
        <v>-0.1</v>
      </c>
      <c r="F69" s="9">
        <v>0.0450582642772923</v>
      </c>
      <c r="G69" s="24">
        <v>-165.097393263632</v>
      </c>
      <c r="H69" s="24">
        <v>0.884471839299551</v>
      </c>
      <c r="I69" s="24">
        <v>0</v>
      </c>
      <c r="J69" s="39" t="e">
        <v>#DIV/0!</v>
      </c>
      <c r="K69" s="32">
        <v>0</v>
      </c>
      <c r="L69" s="32">
        <v>0</v>
      </c>
      <c r="M69" s="32">
        <v>0</v>
      </c>
      <c r="N69" s="36"/>
      <c r="O69" s="36"/>
    </row>
    <row r="70" customHeight="1" spans="4:15">
      <c r="D70" s="11">
        <f>'储能-设备工程参数'!$D$31*(1+'储能-敏感性分析'!E70)</f>
        <v>0.05</v>
      </c>
      <c r="E70" s="12">
        <v>0</v>
      </c>
      <c r="F70" s="13">
        <v>0.0437673267871723</v>
      </c>
      <c r="G70" s="25">
        <v>-168.338607442453</v>
      </c>
      <c r="H70" s="25">
        <v>0.889115959316879</v>
      </c>
      <c r="I70" s="25">
        <v>0</v>
      </c>
      <c r="J70" s="40" t="e">
        <v>#DIV/0!</v>
      </c>
      <c r="K70" s="32">
        <v>0</v>
      </c>
      <c r="L70" s="32">
        <v>0</v>
      </c>
      <c r="M70" s="32">
        <v>0</v>
      </c>
      <c r="N70" s="36"/>
      <c r="O70" s="36"/>
    </row>
    <row r="71" customHeight="1" spans="4:15">
      <c r="D71" s="8">
        <f>'储能-设备工程参数'!$D$31*(1+'储能-敏感性分析'!E71)</f>
        <v>0.055</v>
      </c>
      <c r="E71" s="10">
        <v>0.1</v>
      </c>
      <c r="F71" s="9">
        <v>0.0424918271920316</v>
      </c>
      <c r="G71" s="24">
        <v>-171.579821621273</v>
      </c>
      <c r="H71" s="24">
        <v>0.893760079334207</v>
      </c>
      <c r="I71" s="24">
        <v>0</v>
      </c>
      <c r="J71" s="39" t="e">
        <v>#DIV/0!</v>
      </c>
      <c r="K71" s="32">
        <v>0</v>
      </c>
      <c r="L71" s="32">
        <v>0</v>
      </c>
      <c r="M71" s="32">
        <v>0</v>
      </c>
      <c r="N71" s="36"/>
      <c r="O71" s="36"/>
    </row>
    <row r="72" customHeight="1" spans="4:15">
      <c r="D72" s="8">
        <f>'储能-设备工程参数'!$D$31*(1+'储能-敏感性分析'!E72)</f>
        <v>0.065</v>
      </c>
      <c r="E72" s="10">
        <v>0.3</v>
      </c>
      <c r="F72" s="9">
        <v>0.0399858511268611</v>
      </c>
      <c r="G72" s="24">
        <v>-178.062249978913</v>
      </c>
      <c r="H72" s="24">
        <v>0.903048319368863</v>
      </c>
      <c r="I72" s="24">
        <v>0</v>
      </c>
      <c r="J72" s="39" t="e">
        <v>#DIV/0!</v>
      </c>
      <c r="K72" s="32">
        <v>0</v>
      </c>
      <c r="L72" s="32">
        <v>0</v>
      </c>
      <c r="M72" s="32">
        <v>0</v>
      </c>
      <c r="N72" s="36"/>
      <c r="O72" s="36"/>
    </row>
    <row r="73" customHeight="1" spans="4:15">
      <c r="D73" s="8">
        <f>'储能-设备工程参数'!$D$31*(1+'储能-敏感性分析'!E73)</f>
        <v>0.075</v>
      </c>
      <c r="E73" s="10">
        <v>0.5</v>
      </c>
      <c r="F73" s="9">
        <v>0.0375378480842212</v>
      </c>
      <c r="G73" s="24">
        <v>-184.544678336553</v>
      </c>
      <c r="H73" s="24">
        <v>0.912336559403518</v>
      </c>
      <c r="I73" s="24">
        <v>0</v>
      </c>
      <c r="J73" s="39" t="e">
        <v>#DIV/0!</v>
      </c>
      <c r="K73" s="32">
        <v>0</v>
      </c>
      <c r="L73" s="32">
        <v>0</v>
      </c>
      <c r="M73" s="32">
        <v>0</v>
      </c>
      <c r="N73" s="36"/>
      <c r="O73" s="36"/>
    </row>
    <row r="74" customHeight="1" spans="4:15">
      <c r="D74" s="8">
        <f>'储能-设备工程参数'!$D$31*(1+'储能-敏感性分析'!E74)</f>
        <v>0.085</v>
      </c>
      <c r="E74" s="10">
        <v>0.7</v>
      </c>
      <c r="F74" s="9">
        <v>0.035145471527614</v>
      </c>
      <c r="G74" s="24">
        <v>-191.027106694194</v>
      </c>
      <c r="H74" s="24">
        <v>0.921624799438174</v>
      </c>
      <c r="I74" s="24">
        <v>0</v>
      </c>
      <c r="J74" s="39" t="e">
        <v>#DIV/0!</v>
      </c>
      <c r="K74" s="32">
        <v>0</v>
      </c>
      <c r="L74" s="32">
        <v>0</v>
      </c>
      <c r="M74" s="32">
        <v>0</v>
      </c>
      <c r="N74" s="36"/>
      <c r="O74" s="36"/>
    </row>
    <row r="75" customHeight="1" spans="4:15">
      <c r="D75" s="8">
        <f>'储能-设备工程参数'!$D$31*(1+'储能-敏感性分析'!E75)</f>
        <v>0.095</v>
      </c>
      <c r="E75" s="10">
        <v>0.9</v>
      </c>
      <c r="F75" s="9">
        <v>0.0328065063090035</v>
      </c>
      <c r="G75" s="24">
        <v>-197.509535051834</v>
      </c>
      <c r="H75" s="24">
        <v>0.930913039472829</v>
      </c>
      <c r="I75" s="24">
        <v>0</v>
      </c>
      <c r="J75" s="39" t="e">
        <v>#DIV/0!</v>
      </c>
      <c r="K75" s="32">
        <v>0</v>
      </c>
      <c r="L75" s="32">
        <v>0</v>
      </c>
      <c r="M75" s="32">
        <v>0</v>
      </c>
      <c r="N75" s="36"/>
      <c r="O75" s="36"/>
    </row>
    <row r="76" customHeight="1" spans="5:15">
      <c r="E76" s="14"/>
      <c r="K76" s="37"/>
      <c r="L76" s="37"/>
      <c r="M76" s="37"/>
      <c r="N76" s="36"/>
      <c r="O76" s="36"/>
    </row>
    <row r="77" customHeight="1" spans="3:15">
      <c r="C77" s="3">
        <v>6</v>
      </c>
      <c r="D77" s="11" t="s">
        <v>89</v>
      </c>
      <c r="F77" s="3"/>
      <c r="K77" s="37"/>
      <c r="L77" s="37"/>
      <c r="M77" s="37"/>
      <c r="N77" s="36"/>
      <c r="O77" s="36"/>
    </row>
    <row r="78" customHeight="1" spans="4:15">
      <c r="D78" s="8" t="s">
        <v>1178</v>
      </c>
      <c r="E78" s="8" t="s">
        <v>1179</v>
      </c>
      <c r="F78" s="8" t="s">
        <v>72</v>
      </c>
      <c r="G78" s="8" t="s">
        <v>669</v>
      </c>
      <c r="H78" s="8" t="s">
        <v>75</v>
      </c>
      <c r="I78" s="8" t="s">
        <v>1180</v>
      </c>
      <c r="J78" s="26" t="s">
        <v>1181</v>
      </c>
      <c r="K78" s="38"/>
      <c r="L78" s="38"/>
      <c r="M78" s="38"/>
      <c r="N78" s="36"/>
      <c r="O78" s="36"/>
    </row>
    <row r="79" customHeight="1" spans="4:15">
      <c r="D79" s="8"/>
      <c r="E79" s="8">
        <v>0</v>
      </c>
      <c r="F79" s="9">
        <f>F49</f>
        <v>0.0437673267871723</v>
      </c>
      <c r="G79" s="19">
        <f>G49</f>
        <v>-168.338607442453</v>
      </c>
      <c r="H79" s="19">
        <f>H49</f>
        <v>0.889115959316879</v>
      </c>
      <c r="I79" s="19">
        <f>I49</f>
        <v>0</v>
      </c>
      <c r="J79" s="34" t="e">
        <f>J49</f>
        <v>#DIV/0!</v>
      </c>
      <c r="K79" s="38"/>
      <c r="L79" s="38"/>
      <c r="M79" s="38"/>
      <c r="N79" s="36"/>
      <c r="O79" s="36"/>
    </row>
    <row r="80" customHeight="1" spans="4:15">
      <c r="D80" s="9">
        <f>'储能-投资参数'!$C$33*(1+'储能-敏感性分析'!E80)</f>
        <v>0.7125</v>
      </c>
      <c r="E80" s="10">
        <v>-0.25</v>
      </c>
      <c r="F80" s="9">
        <v>-0.0453763577896936</v>
      </c>
      <c r="G80" s="18">
        <v>-337.804483013401</v>
      </c>
      <c r="H80" s="18">
        <v>0.912844514361453</v>
      </c>
      <c r="I80" s="18">
        <v>0</v>
      </c>
      <c r="J80" s="33" t="e">
        <v>#DIV/0!</v>
      </c>
      <c r="K80" s="32">
        <v>0</v>
      </c>
      <c r="L80" s="32">
        <v>0</v>
      </c>
      <c r="M80" s="32">
        <v>0</v>
      </c>
      <c r="N80" s="36"/>
      <c r="O80" s="36"/>
    </row>
    <row r="81" customHeight="1" spans="4:15">
      <c r="D81" s="9">
        <f>'储能-投资参数'!$C$33*(1+'储能-敏感性分析'!E81)</f>
        <v>0.76</v>
      </c>
      <c r="E81" s="10">
        <v>-0.2</v>
      </c>
      <c r="F81" s="9">
        <v>-0.0271977310885079</v>
      </c>
      <c r="G81" s="18">
        <v>-303.911307899211</v>
      </c>
      <c r="H81" s="18">
        <v>0.905666736583676</v>
      </c>
      <c r="I81" s="18">
        <v>0</v>
      </c>
      <c r="J81" s="33" t="e">
        <v>#DIV/0!</v>
      </c>
      <c r="K81" s="32">
        <v>0</v>
      </c>
      <c r="L81" s="32">
        <v>0</v>
      </c>
      <c r="M81" s="32">
        <v>0</v>
      </c>
      <c r="N81" s="36"/>
      <c r="O81" s="36"/>
    </row>
    <row r="82" customHeight="1" spans="4:15">
      <c r="D82" s="9">
        <f>'储能-投资参数'!$C$33*(1+'储能-敏感性分析'!E82)</f>
        <v>0.8075</v>
      </c>
      <c r="E82" s="10">
        <v>-0.15</v>
      </c>
      <c r="F82" s="9">
        <v>-0.00922104092530762</v>
      </c>
      <c r="G82" s="18">
        <v>-270.018132785022</v>
      </c>
      <c r="H82" s="18">
        <v>0.898488958805898</v>
      </c>
      <c r="I82" s="18">
        <v>0</v>
      </c>
      <c r="J82" s="33" t="e">
        <v>#DIV/0!</v>
      </c>
      <c r="K82" s="32">
        <v>0</v>
      </c>
      <c r="L82" s="32">
        <v>0</v>
      </c>
      <c r="M82" s="32">
        <v>0</v>
      </c>
      <c r="N82" s="36"/>
      <c r="O82" s="36"/>
    </row>
    <row r="83" customHeight="1" spans="4:15">
      <c r="D83" s="9">
        <f>'储能-投资参数'!$C$33*(1+'储能-敏感性分析'!E83)</f>
        <v>0.855</v>
      </c>
      <c r="E83" s="10">
        <v>-0.1</v>
      </c>
      <c r="F83" s="9">
        <v>0.00858310261793682</v>
      </c>
      <c r="G83" s="18">
        <v>-236.124957670832</v>
      </c>
      <c r="H83" s="18">
        <v>0.894061221419919</v>
      </c>
      <c r="I83" s="18">
        <v>0</v>
      </c>
      <c r="J83" s="33" t="e">
        <v>#DIV/0!</v>
      </c>
      <c r="K83" s="32">
        <v>0</v>
      </c>
      <c r="L83" s="32">
        <v>0</v>
      </c>
      <c r="M83" s="32">
        <v>0</v>
      </c>
      <c r="N83" s="36"/>
      <c r="O83" s="36"/>
    </row>
    <row r="84" customHeight="1" spans="4:15">
      <c r="D84" s="9">
        <f>'储能-投资参数'!$C$33*(1+'储能-敏感性分析'!E84)</f>
        <v>0.9025</v>
      </c>
      <c r="E84" s="10">
        <v>-0.05</v>
      </c>
      <c r="F84" s="9">
        <v>0.0262391337377252</v>
      </c>
      <c r="G84" s="18">
        <v>-202.231782556642</v>
      </c>
      <c r="H84" s="18">
        <v>0.891575289746097</v>
      </c>
      <c r="I84" s="18">
        <v>0</v>
      </c>
      <c r="J84" s="33" t="e">
        <v>#DIV/0!</v>
      </c>
      <c r="K84" s="32">
        <v>0</v>
      </c>
      <c r="L84" s="32">
        <v>0</v>
      </c>
      <c r="M84" s="32">
        <v>0</v>
      </c>
      <c r="N84" s="36"/>
      <c r="O84" s="36"/>
    </row>
    <row r="85" customHeight="1" spans="3:15">
      <c r="C85" s="1">
        <f>'储能-投资参数'!$C$34*(1-'储能-敏感性分析'!D85)</f>
        <v>0.052</v>
      </c>
      <c r="D85" s="13">
        <f>'储能-投资参数'!$C$33*(1+'储能-敏感性分析'!E85)</f>
        <v>0.95</v>
      </c>
      <c r="E85" s="12">
        <v>0</v>
      </c>
      <c r="F85" s="13">
        <v>0.0437673267871723</v>
      </c>
      <c r="G85" s="41">
        <v>-168.338607442453</v>
      </c>
      <c r="H85" s="41">
        <v>0.889115959316879</v>
      </c>
      <c r="I85" s="41">
        <v>0</v>
      </c>
      <c r="J85" s="43" t="e">
        <v>#DIV/0!</v>
      </c>
      <c r="K85" s="32">
        <v>0</v>
      </c>
      <c r="L85" s="32">
        <v>0</v>
      </c>
      <c r="M85" s="32">
        <v>0</v>
      </c>
      <c r="N85" s="36"/>
      <c r="O85" s="36"/>
    </row>
    <row r="86" customHeight="1" spans="3:15">
      <c r="C86" s="1">
        <f>'储能-投资参数'!$C$34*(1-'储能-敏感性分析'!D86)</f>
        <v>0.00260000000000006</v>
      </c>
      <c r="D86" s="9">
        <f>'储能-投资参数'!$C$33*(1+'储能-敏感性分析'!E86)</f>
        <v>0.9975</v>
      </c>
      <c r="E86" s="10">
        <v>0.05</v>
      </c>
      <c r="F86" s="9">
        <v>0.0611844617660575</v>
      </c>
      <c r="G86" s="18">
        <v>-134.445432328263</v>
      </c>
      <c r="H86" s="18">
        <v>0.886935557352704</v>
      </c>
      <c r="I86" s="18">
        <v>0</v>
      </c>
      <c r="J86" s="33" t="e">
        <v>#DIV/0!</v>
      </c>
      <c r="K86" s="32">
        <v>0</v>
      </c>
      <c r="L86" s="32">
        <v>0</v>
      </c>
      <c r="M86" s="32">
        <v>0</v>
      </c>
      <c r="N86" s="36"/>
      <c r="O86" s="36"/>
    </row>
    <row r="87" customHeight="1" spans="4:15">
      <c r="D87" s="42"/>
      <c r="E87" s="14"/>
      <c r="K87" s="37"/>
      <c r="L87" s="37"/>
      <c r="M87" s="37"/>
      <c r="N87" s="36"/>
      <c r="O87" s="36"/>
    </row>
    <row r="88" customHeight="1" spans="4:15">
      <c r="D88" s="42"/>
      <c r="E88" s="14"/>
      <c r="K88" s="37"/>
      <c r="L88" s="37"/>
      <c r="M88" s="37"/>
      <c r="N88" s="36"/>
      <c r="O88" s="36"/>
    </row>
    <row r="89" customHeight="1" spans="4:15">
      <c r="D89" s="42"/>
      <c r="E89" s="14"/>
      <c r="K89" s="37"/>
      <c r="L89" s="37"/>
      <c r="M89" s="37"/>
      <c r="N89" s="36"/>
      <c r="O89" s="36"/>
    </row>
    <row r="90" customHeight="1" spans="4:15">
      <c r="D90" s="42"/>
      <c r="E90" s="14"/>
      <c r="K90" s="37"/>
      <c r="L90" s="37"/>
      <c r="M90" s="37"/>
      <c r="N90" s="36"/>
      <c r="O90" s="36"/>
    </row>
    <row r="91" customHeight="1" spans="11:15">
      <c r="K91" s="37"/>
      <c r="L91" s="37"/>
      <c r="M91" s="37"/>
      <c r="N91" s="36"/>
      <c r="O91" s="36"/>
    </row>
    <row r="92" customHeight="1" spans="3:15">
      <c r="C92" s="3">
        <v>7</v>
      </c>
      <c r="D92" s="16" t="s">
        <v>1186</v>
      </c>
      <c r="F92" s="3"/>
      <c r="K92" s="37"/>
      <c r="L92" s="37"/>
      <c r="M92" s="37"/>
      <c r="N92" s="36"/>
      <c r="O92" s="36"/>
    </row>
    <row r="93" customHeight="1" spans="3:15">
      <c r="C93" s="8" t="s">
        <v>1187</v>
      </c>
      <c r="D93" s="8" t="s">
        <v>1179</v>
      </c>
      <c r="E93" s="11" t="s">
        <v>1178</v>
      </c>
      <c r="F93" s="8" t="s">
        <v>72</v>
      </c>
      <c r="G93" s="8" t="s">
        <v>669</v>
      </c>
      <c r="H93" s="8" t="s">
        <v>75</v>
      </c>
      <c r="I93" s="8" t="s">
        <v>1180</v>
      </c>
      <c r="J93" s="26" t="s">
        <v>1181</v>
      </c>
      <c r="K93" s="38"/>
      <c r="L93" s="38"/>
      <c r="M93" s="38"/>
      <c r="N93" s="36"/>
      <c r="O93" s="36"/>
    </row>
    <row r="94" customHeight="1" spans="3:15">
      <c r="C94" s="8"/>
      <c r="D94" s="8">
        <v>0</v>
      </c>
      <c r="E94" s="11">
        <f>'储能-投资参数'!C38</f>
        <v>0.72</v>
      </c>
      <c r="F94" s="9">
        <f>F79</f>
        <v>0.0437673267871723</v>
      </c>
      <c r="G94" s="19">
        <f>G79</f>
        <v>-168.338607442453</v>
      </c>
      <c r="H94" s="19">
        <f>H79</f>
        <v>0.889115959316879</v>
      </c>
      <c r="I94" s="19">
        <f>I79</f>
        <v>0</v>
      </c>
      <c r="J94" s="34" t="e">
        <f>J79</f>
        <v>#DIV/0!</v>
      </c>
      <c r="K94" s="38"/>
      <c r="L94" s="38"/>
      <c r="M94" s="38"/>
      <c r="N94" s="36"/>
      <c r="O94" s="36"/>
    </row>
    <row r="95" customHeight="1" spans="3:15">
      <c r="C95" s="8">
        <f>'储能-投资参数'!$C$34*(1+'储能-敏感性分析'!D95)</f>
        <v>0.78</v>
      </c>
      <c r="D95" s="10">
        <v>-0.25</v>
      </c>
      <c r="E95" s="25">
        <v>0.72</v>
      </c>
      <c r="F95" s="9">
        <v>-0.0453763577896936</v>
      </c>
      <c r="G95" s="18">
        <v>-337.804483013401</v>
      </c>
      <c r="H95" s="18">
        <v>0.912844514361453</v>
      </c>
      <c r="I95" s="18">
        <v>0</v>
      </c>
      <c r="J95" s="33" t="e">
        <v>#DIV/0!</v>
      </c>
      <c r="K95" s="32">
        <v>0</v>
      </c>
      <c r="L95" s="32">
        <v>0</v>
      </c>
      <c r="M95" s="32">
        <v>0</v>
      </c>
      <c r="N95" s="36"/>
      <c r="O95" s="36"/>
    </row>
    <row r="96" customHeight="1" spans="3:15">
      <c r="C96" s="8">
        <f>'储能-投资参数'!$C$34*(1+'储能-敏感性分析'!D96)</f>
        <v>0.832</v>
      </c>
      <c r="D96" s="10">
        <v>-0.2</v>
      </c>
      <c r="E96" s="25">
        <v>0.72</v>
      </c>
      <c r="F96" s="9">
        <v>-0.0271977310885079</v>
      </c>
      <c r="G96" s="18">
        <v>-303.911307899211</v>
      </c>
      <c r="H96" s="18">
        <v>0.905666736583676</v>
      </c>
      <c r="I96" s="18">
        <v>0</v>
      </c>
      <c r="J96" s="33" t="e">
        <v>#DIV/0!</v>
      </c>
      <c r="K96" s="32">
        <v>0</v>
      </c>
      <c r="L96" s="32">
        <v>0</v>
      </c>
      <c r="M96" s="32">
        <v>0</v>
      </c>
      <c r="N96" s="36"/>
      <c r="O96" s="36"/>
    </row>
    <row r="97" customHeight="1" spans="3:15">
      <c r="C97" s="8">
        <f>'储能-投资参数'!$C$34*(1+'储能-敏感性分析'!D97)</f>
        <v>0.884</v>
      </c>
      <c r="D97" s="10">
        <v>-0.15</v>
      </c>
      <c r="E97" s="25">
        <v>0.72</v>
      </c>
      <c r="F97" s="9">
        <v>-0.00922104092530762</v>
      </c>
      <c r="G97" s="18">
        <v>-270.018132785022</v>
      </c>
      <c r="H97" s="18">
        <v>0.898488958805898</v>
      </c>
      <c r="I97" s="18">
        <v>0</v>
      </c>
      <c r="J97" s="33" t="e">
        <v>#DIV/0!</v>
      </c>
      <c r="K97" s="32">
        <v>0</v>
      </c>
      <c r="L97" s="32">
        <v>0</v>
      </c>
      <c r="M97" s="32">
        <v>0</v>
      </c>
      <c r="N97" s="36"/>
      <c r="O97" s="36"/>
    </row>
    <row r="98" customHeight="1" spans="3:15">
      <c r="C98" s="8">
        <f>'储能-投资参数'!$C$34*(1+'储能-敏感性分析'!D98)</f>
        <v>0.936</v>
      </c>
      <c r="D98" s="10">
        <v>-0.1</v>
      </c>
      <c r="E98" s="25">
        <v>0.72</v>
      </c>
      <c r="F98" s="9">
        <v>0.0085831026179366</v>
      </c>
      <c r="G98" s="18">
        <v>-236.124957670832</v>
      </c>
      <c r="H98" s="18">
        <v>0.894061221419919</v>
      </c>
      <c r="I98" s="18">
        <v>0</v>
      </c>
      <c r="J98" s="33" t="e">
        <v>#DIV/0!</v>
      </c>
      <c r="K98" s="32">
        <v>0</v>
      </c>
      <c r="L98" s="32">
        <v>0</v>
      </c>
      <c r="M98" s="32">
        <v>0</v>
      </c>
      <c r="N98" s="36"/>
      <c r="O98" s="36"/>
    </row>
    <row r="99" customHeight="1" spans="3:15">
      <c r="C99" s="8">
        <f>'储能-投资参数'!$C$34*(1+'储能-敏感性分析'!D99)</f>
        <v>0.988</v>
      </c>
      <c r="D99" s="10">
        <v>-0.05</v>
      </c>
      <c r="E99" s="25">
        <v>0.72</v>
      </c>
      <c r="F99" s="9">
        <v>0.0262391337377252</v>
      </c>
      <c r="G99" s="18">
        <v>-202.231782556642</v>
      </c>
      <c r="H99" s="18">
        <v>0.891575289746097</v>
      </c>
      <c r="I99" s="18">
        <v>0</v>
      </c>
      <c r="J99" s="33" t="e">
        <v>#DIV/0!</v>
      </c>
      <c r="K99" s="32">
        <v>0</v>
      </c>
      <c r="L99" s="32">
        <v>0</v>
      </c>
      <c r="M99" s="32">
        <v>0</v>
      </c>
      <c r="N99" s="36"/>
      <c r="O99" s="36"/>
    </row>
    <row r="100" customHeight="1" spans="3:15">
      <c r="C100" s="11">
        <f>'储能-投资参数'!$C$34*(1+'储能-敏感性分析'!D100)</f>
        <v>1.04</v>
      </c>
      <c r="D100" s="12">
        <v>0</v>
      </c>
      <c r="E100" s="25">
        <v>0.72</v>
      </c>
      <c r="F100" s="13">
        <v>0.0437673267871723</v>
      </c>
      <c r="G100" s="41">
        <v>-168.338607442453</v>
      </c>
      <c r="H100" s="41">
        <v>0.889115959316879</v>
      </c>
      <c r="I100" s="41">
        <v>0</v>
      </c>
      <c r="J100" s="43" t="e">
        <v>#DIV/0!</v>
      </c>
      <c r="K100" s="32">
        <v>0</v>
      </c>
      <c r="L100" s="32">
        <v>0</v>
      </c>
      <c r="M100" s="32">
        <v>0</v>
      </c>
      <c r="N100" s="36"/>
      <c r="O100" s="36"/>
    </row>
    <row r="101" customHeight="1" spans="3:15">
      <c r="C101" s="8">
        <f>'储能-投资参数'!$C$34*(1+'储能-敏感性分析'!D101)</f>
        <v>1.092</v>
      </c>
      <c r="D101" s="10">
        <v>0.05</v>
      </c>
      <c r="E101" s="25">
        <v>0.72</v>
      </c>
      <c r="F101" s="9">
        <v>0.0611844617660575</v>
      </c>
      <c r="G101" s="18">
        <v>-134.445432328263</v>
      </c>
      <c r="H101" s="18">
        <v>0.886935557352704</v>
      </c>
      <c r="I101" s="18">
        <v>0</v>
      </c>
      <c r="J101" s="33" t="e">
        <v>#DIV/0!</v>
      </c>
      <c r="K101" s="32">
        <v>0</v>
      </c>
      <c r="L101" s="32">
        <v>0</v>
      </c>
      <c r="M101" s="32">
        <v>0</v>
      </c>
      <c r="N101" s="36"/>
      <c r="O101" s="36"/>
    </row>
    <row r="102" customHeight="1" spans="3:15">
      <c r="C102" s="8">
        <f>'储能-投资参数'!$C$34*(1+'储能-敏感性分析'!D102)</f>
        <v>1.144</v>
      </c>
      <c r="D102" s="10">
        <v>0.1</v>
      </c>
      <c r="E102" s="25">
        <v>0.72</v>
      </c>
      <c r="F102" s="9">
        <v>0.0785043861128938</v>
      </c>
      <c r="G102" s="18">
        <v>-100.552257214073</v>
      </c>
      <c r="H102" s="18">
        <v>0.88475515538853</v>
      </c>
      <c r="I102" s="18">
        <v>8.75074358459124</v>
      </c>
      <c r="J102" s="33" t="e">
        <v>#DIV/0!</v>
      </c>
      <c r="K102" s="32">
        <v>0</v>
      </c>
      <c r="L102" s="32">
        <v>0</v>
      </c>
      <c r="M102" s="32">
        <v>0</v>
      </c>
      <c r="N102" s="36"/>
      <c r="O102" s="36"/>
    </row>
    <row r="103" customHeight="1" spans="3:15">
      <c r="C103" s="8">
        <f>'储能-投资参数'!$C$34*(1+'储能-敏感性分析'!D103)</f>
        <v>1.196</v>
      </c>
      <c r="D103" s="10">
        <v>0.15</v>
      </c>
      <c r="E103" s="25">
        <v>0.72</v>
      </c>
      <c r="F103" s="9">
        <v>0.100236266259396</v>
      </c>
      <c r="G103" s="18">
        <v>-56.4402669396405</v>
      </c>
      <c r="H103" s="18">
        <v>0.865134140540691</v>
      </c>
      <c r="I103" s="18">
        <v>4.70957707184129</v>
      </c>
      <c r="J103" s="33" t="e">
        <v>#DIV/0!</v>
      </c>
      <c r="K103" s="32">
        <v>0</v>
      </c>
      <c r="L103" s="32">
        <v>0</v>
      </c>
      <c r="M103" s="32">
        <v>0</v>
      </c>
      <c r="N103" s="36"/>
      <c r="O103" s="36"/>
    </row>
    <row r="104" customHeight="1" spans="3:15">
      <c r="C104" s="8">
        <f>'储能-投资参数'!$C$34*(1+'储能-敏感性分析'!D104)</f>
        <v>1.248</v>
      </c>
      <c r="D104" s="10">
        <v>0.2</v>
      </c>
      <c r="E104" s="25">
        <v>0.72</v>
      </c>
      <c r="F104" s="9">
        <v>0.116818707562929</v>
      </c>
      <c r="G104" s="18">
        <v>-23.47569032517</v>
      </c>
      <c r="H104" s="18">
        <v>0.864538592270804</v>
      </c>
      <c r="I104" s="18">
        <v>4.30559251204014</v>
      </c>
      <c r="J104" s="33" t="e">
        <v>#DIV/0!</v>
      </c>
      <c r="K104" s="32">
        <v>0</v>
      </c>
      <c r="L104" s="32">
        <v>0</v>
      </c>
      <c r="M104" s="32">
        <v>0</v>
      </c>
      <c r="N104" s="36"/>
      <c r="O104" s="36"/>
    </row>
    <row r="105" customHeight="1" spans="3:15">
      <c r="C105" s="8">
        <f>'储能-投资参数'!$C$34*(1+'储能-敏感性分析'!D105)</f>
        <v>1.3</v>
      </c>
      <c r="D105" s="10">
        <v>0.25</v>
      </c>
      <c r="E105" s="25">
        <v>0.72</v>
      </c>
      <c r="F105" s="9">
        <v>0.1249301153065</v>
      </c>
      <c r="G105" s="18">
        <v>-10.6758996201229</v>
      </c>
      <c r="H105" s="18">
        <v>0.861754152143499</v>
      </c>
      <c r="I105" s="18">
        <v>3.97232036594946</v>
      </c>
      <c r="J105" s="33" t="e">
        <v>#DIV/0!</v>
      </c>
      <c r="K105" s="32">
        <v>0</v>
      </c>
      <c r="L105" s="32">
        <v>0</v>
      </c>
      <c r="M105" s="32">
        <v>0</v>
      </c>
      <c r="N105" s="36"/>
      <c r="O105" s="36"/>
    </row>
    <row r="106" customHeight="1" spans="5:15">
      <c r="E106" s="14"/>
      <c r="K106" s="37"/>
      <c r="L106" s="37"/>
      <c r="M106" s="37"/>
      <c r="N106" s="36"/>
      <c r="O106" s="36"/>
    </row>
    <row r="107" customHeight="1" spans="11:15">
      <c r="K107" s="37"/>
      <c r="L107" s="37"/>
      <c r="M107" s="37"/>
      <c r="N107" s="36"/>
      <c r="O107" s="36"/>
    </row>
    <row r="108" customHeight="1" spans="3:15">
      <c r="C108" s="3">
        <v>8</v>
      </c>
      <c r="D108" s="11" t="s">
        <v>1188</v>
      </c>
      <c r="F108" s="3"/>
      <c r="K108" s="37"/>
      <c r="L108" s="37"/>
      <c r="M108" s="37"/>
      <c r="N108" s="36"/>
      <c r="O108" s="36"/>
    </row>
    <row r="109" customHeight="1" spans="3:15">
      <c r="C109" s="8" t="s">
        <v>96</v>
      </c>
      <c r="D109" s="8" t="s">
        <v>1179</v>
      </c>
      <c r="E109" s="11" t="s">
        <v>1178</v>
      </c>
      <c r="F109" s="8" t="s">
        <v>72</v>
      </c>
      <c r="G109" s="8" t="s">
        <v>669</v>
      </c>
      <c r="H109" s="8" t="s">
        <v>75</v>
      </c>
      <c r="I109" s="8" t="s">
        <v>1180</v>
      </c>
      <c r="J109" s="26" t="s">
        <v>1181</v>
      </c>
      <c r="K109" s="38"/>
      <c r="L109" s="38"/>
      <c r="M109" s="38"/>
      <c r="N109" s="36"/>
      <c r="O109" s="36"/>
    </row>
    <row r="110" customHeight="1" spans="3:15">
      <c r="C110" s="9">
        <f>'储能-投资参数'!$C$22*(1+'储能-敏感性分析'!D110)</f>
        <v>0.06</v>
      </c>
      <c r="D110" s="8">
        <v>0</v>
      </c>
      <c r="E110" s="13" t="e">
        <f>'储能-投资参数'!E26</f>
        <v>#NAME?</v>
      </c>
      <c r="F110" s="9">
        <f>F94</f>
        <v>0.0437673267871723</v>
      </c>
      <c r="G110" s="19">
        <f>G94</f>
        <v>-168.338607442453</v>
      </c>
      <c r="H110" s="19">
        <f>H94</f>
        <v>0.889115959316879</v>
      </c>
      <c r="I110" s="19">
        <f>I94</f>
        <v>0</v>
      </c>
      <c r="J110" s="34" t="e">
        <f>J94</f>
        <v>#DIV/0!</v>
      </c>
      <c r="K110" s="38"/>
      <c r="L110" s="38"/>
      <c r="M110" s="38"/>
      <c r="N110" s="36"/>
      <c r="O110" s="36"/>
    </row>
    <row r="111" customHeight="1" spans="3:15">
      <c r="C111" s="9">
        <f>'储能-投资参数'!$C$22*(1+'储能-敏感性分析'!D111)</f>
        <v>0.045</v>
      </c>
      <c r="D111" s="10">
        <v>-0.25</v>
      </c>
      <c r="E111" s="13" t="e">
        <v>#NAME?</v>
      </c>
      <c r="F111" s="8">
        <v>0.0437673267871723</v>
      </c>
      <c r="G111" s="19">
        <v>-168.338607442453</v>
      </c>
      <c r="H111" s="19">
        <v>0.889115959316879</v>
      </c>
      <c r="I111" s="19">
        <v>0</v>
      </c>
      <c r="J111" s="34" t="e">
        <v>#DIV/0!</v>
      </c>
      <c r="K111" s="32">
        <v>0</v>
      </c>
      <c r="L111" s="32">
        <v>0</v>
      </c>
      <c r="M111" s="32">
        <v>0</v>
      </c>
      <c r="N111" s="36"/>
      <c r="O111" s="36"/>
    </row>
    <row r="112" customHeight="1" spans="3:15">
      <c r="C112" s="9">
        <f>'储能-投资参数'!$C$22*(1+'储能-敏感性分析'!D112)</f>
        <v>0.048</v>
      </c>
      <c r="D112" s="10">
        <v>-0.2</v>
      </c>
      <c r="E112" s="13" t="e">
        <v>#NAME?</v>
      </c>
      <c r="F112" s="8">
        <v>0.0437673267871723</v>
      </c>
      <c r="G112" s="19">
        <v>-168.338607442453</v>
      </c>
      <c r="H112" s="19">
        <v>0.889115959316879</v>
      </c>
      <c r="I112" s="19">
        <v>0</v>
      </c>
      <c r="J112" s="34" t="e">
        <v>#DIV/0!</v>
      </c>
      <c r="K112" s="32">
        <v>0</v>
      </c>
      <c r="L112" s="32">
        <v>0</v>
      </c>
      <c r="M112" s="32">
        <v>0</v>
      </c>
      <c r="N112" s="36"/>
      <c r="O112" s="36"/>
    </row>
    <row r="113" customHeight="1" spans="3:15">
      <c r="C113" s="9">
        <f>'储能-投资参数'!$C$22*(1+'储能-敏感性分析'!D113)</f>
        <v>0.051</v>
      </c>
      <c r="D113" s="10">
        <v>-0.15</v>
      </c>
      <c r="E113" s="13" t="e">
        <v>#NAME?</v>
      </c>
      <c r="F113" s="8">
        <v>0.0437673267871723</v>
      </c>
      <c r="G113" s="19">
        <v>-168.338607442453</v>
      </c>
      <c r="H113" s="19">
        <v>0.889115959316879</v>
      </c>
      <c r="I113" s="19">
        <v>0</v>
      </c>
      <c r="J113" s="34" t="e">
        <v>#DIV/0!</v>
      </c>
      <c r="K113" s="32">
        <v>0</v>
      </c>
      <c r="L113" s="32">
        <v>0</v>
      </c>
      <c r="M113" s="32">
        <v>0</v>
      </c>
      <c r="N113" s="36"/>
      <c r="O113" s="36"/>
    </row>
    <row r="114" customHeight="1" spans="3:15">
      <c r="C114" s="9">
        <f>'储能-投资参数'!$C$22*(1+'储能-敏感性分析'!D114)</f>
        <v>0.054</v>
      </c>
      <c r="D114" s="10">
        <v>-0.1</v>
      </c>
      <c r="E114" s="13" t="e">
        <v>#NAME?</v>
      </c>
      <c r="F114" s="8">
        <v>0.0437673267871723</v>
      </c>
      <c r="G114" s="19">
        <v>-168.338607442453</v>
      </c>
      <c r="H114" s="19">
        <v>0.889115959316879</v>
      </c>
      <c r="I114" s="19">
        <v>0</v>
      </c>
      <c r="J114" s="34" t="e">
        <v>#DIV/0!</v>
      </c>
      <c r="K114" s="32">
        <v>0</v>
      </c>
      <c r="L114" s="32">
        <v>0</v>
      </c>
      <c r="M114" s="32">
        <v>0</v>
      </c>
      <c r="N114" s="36"/>
      <c r="O114" s="36"/>
    </row>
    <row r="115" customHeight="1" spans="3:15">
      <c r="C115" s="9">
        <f>'储能-投资参数'!$C$22*(1+'储能-敏感性分析'!D115)</f>
        <v>0.057</v>
      </c>
      <c r="D115" s="10">
        <v>-0.05</v>
      </c>
      <c r="E115" s="13" t="e">
        <v>#NAME?</v>
      </c>
      <c r="F115" s="8">
        <v>0.0437673267871723</v>
      </c>
      <c r="G115" s="19">
        <v>-168.338607442453</v>
      </c>
      <c r="H115" s="19">
        <v>0.889115959316879</v>
      </c>
      <c r="I115" s="19">
        <v>0</v>
      </c>
      <c r="J115" s="34" t="e">
        <v>#DIV/0!</v>
      </c>
      <c r="K115" s="32">
        <v>0</v>
      </c>
      <c r="L115" s="32">
        <v>0</v>
      </c>
      <c r="M115" s="32">
        <v>0</v>
      </c>
      <c r="N115" s="36"/>
      <c r="O115" s="36"/>
    </row>
    <row r="116" customHeight="1" spans="3:15">
      <c r="C116" s="13">
        <f>'储能-投资参数'!$C$22*(1+'储能-敏感性分析'!D116)</f>
        <v>0.06</v>
      </c>
      <c r="D116" s="12">
        <v>0</v>
      </c>
      <c r="E116" s="13" t="e">
        <v>#NAME?</v>
      </c>
      <c r="F116" s="11">
        <v>0.0437673267871723</v>
      </c>
      <c r="G116" s="22">
        <v>-168.338607442453</v>
      </c>
      <c r="H116" s="22">
        <v>0.889115959316879</v>
      </c>
      <c r="I116" s="22">
        <v>0</v>
      </c>
      <c r="J116" s="35" t="e">
        <v>#DIV/0!</v>
      </c>
      <c r="K116" s="32">
        <v>0</v>
      </c>
      <c r="L116" s="32">
        <v>0</v>
      </c>
      <c r="M116" s="32">
        <v>0</v>
      </c>
      <c r="N116" s="36"/>
      <c r="O116" s="36"/>
    </row>
    <row r="117" customHeight="1" spans="3:15">
      <c r="C117" s="9">
        <f>'储能-投资参数'!$C$22*(1+'储能-敏感性分析'!D117)</f>
        <v>0.063</v>
      </c>
      <c r="D117" s="10">
        <v>0.05</v>
      </c>
      <c r="E117" s="13" t="e">
        <v>#NAME?</v>
      </c>
      <c r="F117" s="8">
        <v>0.0437673267871723</v>
      </c>
      <c r="G117" s="19">
        <v>-168.338607442453</v>
      </c>
      <c r="H117" s="19">
        <v>0.889115959316879</v>
      </c>
      <c r="I117" s="19">
        <v>0</v>
      </c>
      <c r="J117" s="34" t="e">
        <v>#DIV/0!</v>
      </c>
      <c r="K117" s="32">
        <v>0</v>
      </c>
      <c r="L117" s="32">
        <v>0</v>
      </c>
      <c r="M117" s="32">
        <v>0</v>
      </c>
      <c r="N117" s="36"/>
      <c r="O117" s="36"/>
    </row>
    <row r="118" customHeight="1" spans="3:15">
      <c r="C118" s="9">
        <f>'储能-投资参数'!$C$22*(1+'储能-敏感性分析'!D118)</f>
        <v>0.066</v>
      </c>
      <c r="D118" s="10">
        <v>0.1</v>
      </c>
      <c r="E118" s="13" t="e">
        <v>#NAME?</v>
      </c>
      <c r="F118" s="8">
        <v>0.0437673267871723</v>
      </c>
      <c r="G118" s="19">
        <v>-168.338607442453</v>
      </c>
      <c r="H118" s="19">
        <v>0.889115959316879</v>
      </c>
      <c r="I118" s="19">
        <v>0</v>
      </c>
      <c r="J118" s="34" t="e">
        <v>#DIV/0!</v>
      </c>
      <c r="K118" s="32">
        <v>0</v>
      </c>
      <c r="L118" s="32">
        <v>0</v>
      </c>
      <c r="M118" s="32">
        <v>0</v>
      </c>
      <c r="N118" s="36"/>
      <c r="O118" s="36"/>
    </row>
    <row r="119" customHeight="1" spans="3:15">
      <c r="C119" s="9">
        <f>'储能-投资参数'!$C$22*(1+'储能-敏感性分析'!D119)</f>
        <v>0.069</v>
      </c>
      <c r="D119" s="10">
        <v>0.15</v>
      </c>
      <c r="E119" s="13" t="e">
        <v>#NAME?</v>
      </c>
      <c r="F119" s="8">
        <v>0.0437673267871723</v>
      </c>
      <c r="G119" s="19">
        <v>-168.338607442453</v>
      </c>
      <c r="H119" s="19">
        <v>0.889115959316879</v>
      </c>
      <c r="I119" s="19">
        <v>0</v>
      </c>
      <c r="J119" s="34" t="e">
        <v>#DIV/0!</v>
      </c>
      <c r="K119" s="32">
        <v>0</v>
      </c>
      <c r="L119" s="32">
        <v>0</v>
      </c>
      <c r="M119" s="32">
        <v>0</v>
      </c>
      <c r="N119" s="36"/>
      <c r="O119" s="36"/>
    </row>
    <row r="120" customHeight="1" spans="3:15">
      <c r="C120" s="9">
        <f>'储能-投资参数'!$C$22*(1+'储能-敏感性分析'!D120)</f>
        <v>0.072</v>
      </c>
      <c r="D120" s="10">
        <v>0.2</v>
      </c>
      <c r="E120" s="13" t="e">
        <v>#NAME?</v>
      </c>
      <c r="F120" s="8">
        <v>0.0437673267871723</v>
      </c>
      <c r="G120" s="19">
        <v>-168.338607442453</v>
      </c>
      <c r="H120" s="19">
        <v>0.889115959316879</v>
      </c>
      <c r="I120" s="19">
        <v>0</v>
      </c>
      <c r="J120" s="34" t="e">
        <v>#DIV/0!</v>
      </c>
      <c r="K120" s="32">
        <v>0</v>
      </c>
      <c r="L120" s="32">
        <v>0</v>
      </c>
      <c r="M120" s="32">
        <v>0</v>
      </c>
      <c r="N120" s="36"/>
      <c r="O120" s="36"/>
    </row>
    <row r="121" customHeight="1" spans="3:15">
      <c r="C121" s="9">
        <f>'储能-投资参数'!$C$22*(1+'储能-敏感性分析'!D121)</f>
        <v>0.075</v>
      </c>
      <c r="D121" s="10">
        <v>0.25</v>
      </c>
      <c r="E121" s="13" t="e">
        <v>#NAME?</v>
      </c>
      <c r="F121" s="8">
        <v>0.0437673267871723</v>
      </c>
      <c r="G121" s="19">
        <v>-168.338607442453</v>
      </c>
      <c r="H121" s="19">
        <v>0.889115959316879</v>
      </c>
      <c r="I121" s="19">
        <v>0</v>
      </c>
      <c r="J121" s="34" t="e">
        <v>#DIV/0!</v>
      </c>
      <c r="K121" s="32">
        <v>0</v>
      </c>
      <c r="L121" s="32">
        <v>0</v>
      </c>
      <c r="M121" s="32">
        <v>0</v>
      </c>
      <c r="N121" s="36"/>
      <c r="O121" s="36"/>
    </row>
    <row r="122" customHeight="1" spans="11:15">
      <c r="K122" s="37"/>
      <c r="L122" s="37"/>
      <c r="M122" s="37"/>
      <c r="N122" s="36"/>
      <c r="O122" s="36"/>
    </row>
    <row r="123" customHeight="1" spans="11:15">
      <c r="K123" s="37"/>
      <c r="L123" s="37"/>
      <c r="M123" s="37"/>
      <c r="N123" s="36"/>
      <c r="O123" s="36"/>
    </row>
    <row r="124" customHeight="1" spans="11:15">
      <c r="K124" s="37"/>
      <c r="L124" s="37"/>
      <c r="M124" s="37"/>
      <c r="N124" s="36"/>
      <c r="O124" s="36"/>
    </row>
    <row r="125" customHeight="1" spans="11:15">
      <c r="K125" s="37"/>
      <c r="L125" s="37"/>
      <c r="M125" s="37"/>
      <c r="N125" s="36"/>
      <c r="O125" s="36"/>
    </row>
    <row r="126" customHeight="1" spans="11:15">
      <c r="K126" s="37"/>
      <c r="L126" s="37"/>
      <c r="M126" s="37"/>
      <c r="N126" s="36"/>
      <c r="O126" s="36"/>
    </row>
  </sheetData>
  <pageMargins left="0.75" right="0.75" top="1" bottom="1" header="0.5" footer="0.5"/>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Q93"/>
  <sheetViews>
    <sheetView tabSelected="1" topLeftCell="A22" workbookViewId="0">
      <selection activeCell="D37" sqref="D37"/>
    </sheetView>
  </sheetViews>
  <sheetFormatPr defaultColWidth="8.86666666666667" defaultRowHeight="23" customHeight="1"/>
  <cols>
    <col min="1" max="1" width="8.86666666666667" style="274"/>
    <col min="2" max="2" width="26.4" style="274" customWidth="1"/>
    <col min="3" max="3" width="12" style="274" customWidth="1"/>
    <col min="4" max="4" width="39.8666666666667" style="274" customWidth="1"/>
    <col min="5" max="5" width="20.8666666666667" style="274" customWidth="1"/>
    <col min="6" max="6" width="23.1333333333333" style="274" customWidth="1"/>
    <col min="7" max="7" width="11.4" style="274" customWidth="1"/>
    <col min="8" max="8" width="12.1333333333333" style="274" customWidth="1"/>
    <col min="9" max="9" width="12" style="274" customWidth="1"/>
    <col min="10" max="10" width="10.4" style="274" customWidth="1"/>
    <col min="11" max="11" width="14.4" style="274" customWidth="1"/>
    <col min="12" max="12" width="18.1333333333333" style="274" customWidth="1"/>
    <col min="13" max="13" width="10.8666666666667" style="274" customWidth="1"/>
    <col min="14" max="14" width="10.2666666666667" style="274" customWidth="1"/>
    <col min="15" max="15" width="10.1333333333333" style="274" customWidth="1"/>
    <col min="16" max="16384" width="8.86666666666667" style="274"/>
  </cols>
  <sheetData>
    <row r="2" customHeight="1" spans="2:6">
      <c r="B2" s="20" t="s">
        <v>61</v>
      </c>
      <c r="C2" s="20" t="s">
        <v>62</v>
      </c>
      <c r="D2" s="20"/>
      <c r="F2"/>
    </row>
    <row r="3" customHeight="1" spans="2:6">
      <c r="B3" s="20" t="s">
        <v>63</v>
      </c>
      <c r="C3" s="20" t="s">
        <v>64</v>
      </c>
      <c r="D3" s="20"/>
      <c r="F3"/>
    </row>
    <row r="4" customHeight="1" spans="6:9">
      <c r="F4"/>
      <c r="G4" s="38"/>
      <c r="H4" s="38"/>
      <c r="I4" s="38"/>
    </row>
    <row r="5" ht="27" customHeight="1" spans="2:17">
      <c r="B5" s="275" t="s">
        <v>65</v>
      </c>
      <c r="C5" s="275" t="s">
        <v>66</v>
      </c>
      <c r="D5" s="275" t="s">
        <v>8</v>
      </c>
      <c r="E5" s="276"/>
      <c r="F5" s="277" t="s">
        <v>67</v>
      </c>
      <c r="G5" s="278"/>
      <c r="H5" s="279"/>
      <c r="I5" s="279"/>
      <c r="O5" s="324"/>
      <c r="P5" s="324"/>
      <c r="Q5" s="324"/>
    </row>
    <row r="6" customHeight="1" spans="2:7">
      <c r="B6" s="275" t="s">
        <v>68</v>
      </c>
      <c r="C6" s="275"/>
      <c r="D6" s="275"/>
      <c r="E6" s="276"/>
      <c r="F6" s="280" t="s">
        <v>69</v>
      </c>
      <c r="G6" s="281">
        <f>'储能-计算界面-年'!C44</f>
        <v>-168.338607442453</v>
      </c>
    </row>
    <row r="7" customHeight="1" spans="2:7">
      <c r="B7" s="275" t="s">
        <v>70</v>
      </c>
      <c r="C7" s="282">
        <f>G14*'储能-设备工程参数'!C5/10</f>
        <v>474.071428571429</v>
      </c>
      <c r="D7" s="275" t="s">
        <v>71</v>
      </c>
      <c r="E7" s="276"/>
      <c r="F7" s="283" t="s">
        <v>72</v>
      </c>
      <c r="G7" s="284">
        <f>'储能-计算界面-年'!C45</f>
        <v>0.0437673267871723</v>
      </c>
    </row>
    <row r="8" customHeight="1" spans="2:7">
      <c r="B8" s="275" t="s">
        <v>11</v>
      </c>
      <c r="C8" s="285">
        <f>'储能-设备工程参数'!C5</f>
        <v>4500</v>
      </c>
      <c r="D8" s="275" t="s">
        <v>71</v>
      </c>
      <c r="E8" s="276"/>
      <c r="F8" s="283" t="s">
        <v>73</v>
      </c>
      <c r="G8" s="286">
        <f>'储能-计算界面-年'!C46</f>
        <v>0</v>
      </c>
    </row>
    <row r="9" customHeight="1" spans="2:7">
      <c r="B9" s="287" t="s">
        <v>12</v>
      </c>
      <c r="C9" s="288">
        <f>'储能-设备工程参数'!C6</f>
        <v>0.7</v>
      </c>
      <c r="D9" s="275" t="s">
        <v>71</v>
      </c>
      <c r="E9" s="276"/>
      <c r="F9" s="289" t="s">
        <v>74</v>
      </c>
      <c r="G9" s="286" t="e">
        <f>'储能-计算界面-年'!C47</f>
        <v>#DIV/0!</v>
      </c>
    </row>
    <row r="10" ht="27.5" customHeight="1" spans="2:7">
      <c r="B10" s="275" t="s">
        <v>16</v>
      </c>
      <c r="C10" s="290">
        <f>'储能-设备工程参数'!C10</f>
        <v>6428.57142857143</v>
      </c>
      <c r="D10" s="275" t="s">
        <v>71</v>
      </c>
      <c r="E10" s="276"/>
      <c r="F10" s="291" t="s">
        <v>75</v>
      </c>
      <c r="G10" s="292">
        <f>'储能-计算界面-年'!C48</f>
        <v>0.889115959316879</v>
      </c>
    </row>
    <row r="11" ht="27.5" customHeight="1" spans="2:7">
      <c r="B11" s="275" t="s">
        <v>76</v>
      </c>
      <c r="C11" s="290">
        <f>'储能-设备工程参数'!C16</f>
        <v>750</v>
      </c>
      <c r="D11" s="275" t="s">
        <v>71</v>
      </c>
      <c r="E11" s="276"/>
      <c r="F11" s="28"/>
      <c r="G11" s="293"/>
    </row>
    <row r="12" ht="27.5" customHeight="1" spans="2:7">
      <c r="B12" s="287" t="s">
        <v>13</v>
      </c>
      <c r="C12" s="285">
        <f>'储能-设备工程参数'!C7</f>
        <v>6</v>
      </c>
      <c r="D12" s="275" t="s">
        <v>71</v>
      </c>
      <c r="E12" s="276"/>
      <c r="F12"/>
      <c r="G12"/>
    </row>
    <row r="13" ht="27.5" customHeight="1" spans="2:7">
      <c r="B13" s="275" t="s">
        <v>77</v>
      </c>
      <c r="C13" s="294">
        <f>'储能-设备工程参数'!C9*'储能-设备工程参数'!C19*'储能-设备工程参数'!C20</f>
        <v>0.91238</v>
      </c>
      <c r="D13" s="275" t="s">
        <v>71</v>
      </c>
      <c r="E13" s="276"/>
      <c r="F13" s="295"/>
      <c r="G13" s="11" t="s">
        <v>78</v>
      </c>
    </row>
    <row r="14" ht="27.5" customHeight="1" spans="2:7">
      <c r="B14" s="275" t="s">
        <v>79</v>
      </c>
      <c r="C14" s="294">
        <f>'储能-设备工程参数'!C13</f>
        <v>0.035</v>
      </c>
      <c r="D14" s="275" t="s">
        <v>71</v>
      </c>
      <c r="E14" s="276"/>
      <c r="F14" s="296" t="s">
        <v>80</v>
      </c>
      <c r="G14" s="297">
        <f>'储能-设备工程参数'!D33*(1+'储能-敏感性分析'!F2)</f>
        <v>1.05349206349206</v>
      </c>
    </row>
    <row r="15" ht="27.5" customHeight="1" spans="2:7">
      <c r="B15" s="298" t="s">
        <v>81</v>
      </c>
      <c r="C15" s="299">
        <f>'储能-设备工程参数'!E37</f>
        <v>350</v>
      </c>
      <c r="D15" s="298" t="s">
        <v>71</v>
      </c>
      <c r="E15" s="276"/>
      <c r="F15" s="296" t="s">
        <v>18</v>
      </c>
      <c r="G15" s="73">
        <f>'储能-设备工程参数'!C12*(1+'储能-敏感性分析'!F17)</f>
        <v>2100</v>
      </c>
    </row>
    <row r="16" ht="27.5" customHeight="1" spans="2:7">
      <c r="B16" s="275" t="s">
        <v>82</v>
      </c>
      <c r="C16" s="300">
        <f>'储能-设备工程参数'!C12</f>
        <v>2100</v>
      </c>
      <c r="D16" s="275" t="s">
        <v>71</v>
      </c>
      <c r="E16" s="276"/>
      <c r="F16" s="20" t="s">
        <v>83</v>
      </c>
      <c r="G16" s="73">
        <f>E70*(1+'储能-敏感性分析'!F32)</f>
        <v>0</v>
      </c>
    </row>
    <row r="17" ht="28.5" customHeight="1" spans="2:7">
      <c r="B17" s="275" t="s">
        <v>84</v>
      </c>
      <c r="C17" s="301">
        <f>'储能-设备工程参数'!C18</f>
        <v>8</v>
      </c>
      <c r="D17" s="275" t="s">
        <v>71</v>
      </c>
      <c r="E17" s="276"/>
      <c r="F17" s="20" t="s">
        <v>85</v>
      </c>
      <c r="G17" s="73">
        <f>C62*(1+'储能-敏感性分析'!F47)</f>
        <v>0.237035714285714</v>
      </c>
    </row>
    <row r="18" ht="25.05" customHeight="1" spans="2:7">
      <c r="B18" s="275" t="s">
        <v>47</v>
      </c>
      <c r="C18" s="302">
        <v>1</v>
      </c>
      <c r="D18" s="303"/>
      <c r="E18" s="276"/>
      <c r="F18" s="20" t="s">
        <v>86</v>
      </c>
      <c r="G18" s="73">
        <f>'储能-设备工程参数'!D31*(1+'储能-敏感性分析'!F62)</f>
        <v>0.05</v>
      </c>
    </row>
    <row r="19" ht="24.5" customHeight="1" spans="2:7">
      <c r="B19" s="275" t="s">
        <v>87</v>
      </c>
      <c r="C19" s="275" t="s">
        <v>88</v>
      </c>
      <c r="D19" s="275"/>
      <c r="E19" s="276"/>
      <c r="F19" s="20" t="s">
        <v>89</v>
      </c>
      <c r="G19" s="304">
        <f>C33*(1+'储能-敏感性分析'!F77)</f>
        <v>0.95</v>
      </c>
    </row>
    <row r="20" ht="24.5" customHeight="1" spans="2:7">
      <c r="B20" s="305" t="s">
        <v>90</v>
      </c>
      <c r="C20" s="306"/>
      <c r="D20" s="307"/>
      <c r="E20" s="276"/>
      <c r="F20" s="20" t="s">
        <v>91</v>
      </c>
      <c r="G20" s="308">
        <f>C34*(1+'储能-敏感性分析'!F92)</f>
        <v>1.04</v>
      </c>
    </row>
    <row r="21" ht="27" customHeight="1" spans="2:7">
      <c r="B21" s="275" t="s">
        <v>92</v>
      </c>
      <c r="C21" s="309">
        <v>0</v>
      </c>
      <c r="D21" s="275" t="s">
        <v>93</v>
      </c>
      <c r="F21" s="20" t="s">
        <v>94</v>
      </c>
      <c r="G21" s="310">
        <f>C22*(1+'储能-敏感性分析'!F108)</f>
        <v>0.06</v>
      </c>
    </row>
    <row r="22" customHeight="1" spans="2:7">
      <c r="B22" s="275" t="s">
        <v>95</v>
      </c>
      <c r="C22" s="311">
        <v>0.06</v>
      </c>
      <c r="D22" s="275" t="s">
        <v>96</v>
      </c>
      <c r="E22" s="276"/>
      <c r="F22"/>
      <c r="G22"/>
    </row>
    <row r="23" customHeight="1" spans="2:7">
      <c r="B23" s="275" t="s">
        <v>97</v>
      </c>
      <c r="C23" s="312">
        <v>0.7</v>
      </c>
      <c r="D23" s="313" t="s">
        <v>98</v>
      </c>
      <c r="E23" s="276"/>
      <c r="F23"/>
      <c r="G23"/>
    </row>
    <row r="24" customHeight="1" spans="2:7">
      <c r="B24" s="275" t="s">
        <v>99</v>
      </c>
      <c r="C24" s="314">
        <v>5</v>
      </c>
      <c r="D24" s="275"/>
      <c r="E24" s="276"/>
      <c r="G24" s="276"/>
    </row>
    <row r="25" customHeight="1" spans="2:9">
      <c r="B25" s="275" t="s">
        <v>100</v>
      </c>
      <c r="C25" s="315">
        <v>0</v>
      </c>
      <c r="D25" s="275"/>
      <c r="E25" s="276"/>
      <c r="F25" s="276"/>
      <c r="G25" s="316" t="s">
        <v>101</v>
      </c>
      <c r="H25" s="28"/>
      <c r="I25" s="28"/>
    </row>
    <row r="26" customHeight="1" spans="2:9">
      <c r="B26" s="275" t="s">
        <v>102</v>
      </c>
      <c r="C26" s="317">
        <f>IF(C21=0,0,IF(C21=1,'储能-设备工程参数'!E25*C23,C7*C23))</f>
        <v>0</v>
      </c>
      <c r="D26" s="275"/>
      <c r="E26" s="318" t="e">
        <f>IF(C21=1,租赁!X24,空)</f>
        <v>#NAME?</v>
      </c>
      <c r="F26" s="313" t="s">
        <v>103</v>
      </c>
      <c r="G26" s="276"/>
      <c r="H26" s="28"/>
      <c r="I26" s="341"/>
    </row>
    <row r="27" customHeight="1" spans="2:9">
      <c r="B27" s="275" t="s">
        <v>104</v>
      </c>
      <c r="C27" s="319">
        <v>0</v>
      </c>
      <c r="D27" s="275" t="s">
        <v>105</v>
      </c>
      <c r="E27" s="318" t="e">
        <f>IF(C21=1,租赁!D24,空)</f>
        <v>#NAME?</v>
      </c>
      <c r="F27" s="313" t="s">
        <v>106</v>
      </c>
      <c r="G27" s="316"/>
      <c r="H27" s="28"/>
      <c r="I27" s="342"/>
    </row>
    <row r="28" customHeight="1" spans="2:9">
      <c r="B28" s="275" t="s">
        <v>107</v>
      </c>
      <c r="C28" s="319">
        <v>0.01</v>
      </c>
      <c r="D28" s="275" t="s">
        <v>105</v>
      </c>
      <c r="E28" s="320">
        <f>IF(C21=1,C26/'储能-设备工程参数'!E33,C23)</f>
        <v>0.7</v>
      </c>
      <c r="F28" s="321" t="s">
        <v>108</v>
      </c>
      <c r="G28" s="316"/>
      <c r="H28" s="28"/>
      <c r="I28" s="327"/>
    </row>
    <row r="29" customHeight="1" spans="2:9">
      <c r="B29" s="275" t="s">
        <v>109</v>
      </c>
      <c r="C29" s="322">
        <v>4</v>
      </c>
      <c r="D29" s="275" t="s">
        <v>105</v>
      </c>
      <c r="E29" s="276"/>
      <c r="G29" s="316"/>
      <c r="H29" s="28"/>
      <c r="I29" s="327"/>
    </row>
    <row r="30" customHeight="1" spans="2:9">
      <c r="B30" s="275" t="s">
        <v>110</v>
      </c>
      <c r="C30" s="323">
        <v>0</v>
      </c>
      <c r="D30" s="275" t="s">
        <v>105</v>
      </c>
      <c r="E30" s="276"/>
      <c r="F30" s="316"/>
      <c r="G30" s="316"/>
      <c r="H30" s="324"/>
      <c r="I30" s="324"/>
    </row>
    <row r="31" customHeight="1" spans="2:9">
      <c r="B31" s="275" t="s">
        <v>111</v>
      </c>
      <c r="C31" s="275">
        <v>0</v>
      </c>
      <c r="D31" s="325" t="s">
        <v>112</v>
      </c>
      <c r="E31" s="276"/>
      <c r="F31" s="326"/>
      <c r="G31" s="309"/>
      <c r="H31" s="327"/>
      <c r="I31" s="327"/>
    </row>
    <row r="32" customHeight="1" spans="2:5">
      <c r="B32" s="305" t="s">
        <v>113</v>
      </c>
      <c r="C32" s="306"/>
      <c r="D32" s="307"/>
      <c r="E32" s="276"/>
    </row>
    <row r="33" customHeight="1" spans="2:5">
      <c r="B33" s="275" t="s">
        <v>114</v>
      </c>
      <c r="C33" s="328">
        <v>0.95</v>
      </c>
      <c r="D33" s="275"/>
      <c r="E33" s="276"/>
    </row>
    <row r="34" customHeight="1" spans="2:5">
      <c r="B34" s="275" t="s">
        <v>115</v>
      </c>
      <c r="C34" s="329">
        <v>1.04</v>
      </c>
      <c r="D34" s="330" t="s">
        <v>116</v>
      </c>
      <c r="E34" s="276"/>
    </row>
    <row r="35" customHeight="1" spans="2:5">
      <c r="B35" s="275" t="s">
        <v>117</v>
      </c>
      <c r="C35" s="407" t="s">
        <v>118</v>
      </c>
      <c r="D35" s="330" t="s">
        <v>116</v>
      </c>
      <c r="E35" s="276"/>
    </row>
    <row r="36" customHeight="1" spans="2:5">
      <c r="B36" s="275" t="s">
        <v>119</v>
      </c>
      <c r="C36" s="285">
        <v>0.6117</v>
      </c>
      <c r="D36" s="330" t="s">
        <v>116</v>
      </c>
      <c r="E36" s="276"/>
    </row>
    <row r="37" customHeight="1" spans="2:5">
      <c r="B37" s="275" t="s">
        <v>120</v>
      </c>
      <c r="C37" s="329">
        <v>0.32</v>
      </c>
      <c r="D37" s="330" t="s">
        <v>116</v>
      </c>
      <c r="E37" s="276"/>
    </row>
    <row r="38" customHeight="1" spans="2:5">
      <c r="B38" s="331" t="s">
        <v>121</v>
      </c>
      <c r="C38" s="332">
        <f>C34-C37</f>
        <v>0.72</v>
      </c>
      <c r="D38" s="330"/>
      <c r="E38" s="276"/>
    </row>
    <row r="39" customHeight="1" spans="2:9">
      <c r="B39" s="275" t="s">
        <v>122</v>
      </c>
      <c r="C39" s="333">
        <v>6</v>
      </c>
      <c r="D39" s="330" t="s">
        <v>116</v>
      </c>
      <c r="E39" s="334"/>
      <c r="I39" s="324"/>
    </row>
    <row r="40" customHeight="1" spans="2:9">
      <c r="B40" s="275" t="s">
        <v>123</v>
      </c>
      <c r="C40" s="333">
        <v>0</v>
      </c>
      <c r="D40" s="330" t="s">
        <v>116</v>
      </c>
      <c r="E40" s="276"/>
      <c r="I40" s="324"/>
    </row>
    <row r="41" customHeight="1" spans="2:9">
      <c r="B41" s="275" t="s">
        <v>124</v>
      </c>
      <c r="C41" s="335">
        <f>'储能-设备工程参数'!E37</f>
        <v>350</v>
      </c>
      <c r="D41" s="303"/>
      <c r="E41" s="276"/>
      <c r="I41" s="324"/>
    </row>
    <row r="42" customHeight="1" spans="2:9">
      <c r="B42" s="275" t="s">
        <v>125</v>
      </c>
      <c r="C42" s="336">
        <v>24</v>
      </c>
      <c r="D42" s="275"/>
      <c r="E42" s="276"/>
      <c r="I42" s="324"/>
    </row>
    <row r="43" customHeight="1" spans="2:9">
      <c r="B43" s="331" t="s">
        <v>126</v>
      </c>
      <c r="C43" s="332">
        <f>'储能-计算界面-年'!F11-'储能-计算界面-年'!F19-'储能-计算界面-年'!F20</f>
        <v>95.9914998</v>
      </c>
      <c r="D43" s="303"/>
      <c r="E43" s="276"/>
      <c r="I43" s="324"/>
    </row>
    <row r="44" customHeight="1" spans="2:9">
      <c r="B44" s="275" t="s">
        <v>127</v>
      </c>
      <c r="C44" s="282"/>
      <c r="D44" s="330" t="s">
        <v>128</v>
      </c>
      <c r="E44" s="276"/>
      <c r="I44" s="324"/>
    </row>
    <row r="45" customHeight="1" spans="2:9">
      <c r="B45" s="275" t="s">
        <v>129</v>
      </c>
      <c r="C45" s="282">
        <v>0</v>
      </c>
      <c r="D45" s="330"/>
      <c r="E45" s="276"/>
      <c r="I45" s="324"/>
    </row>
    <row r="46" customHeight="1" spans="2:9">
      <c r="B46" s="275" t="s">
        <v>130</v>
      </c>
      <c r="C46" s="282">
        <v>0</v>
      </c>
      <c r="D46" s="303" t="s">
        <v>131</v>
      </c>
      <c r="E46" s="276"/>
      <c r="I46" s="324"/>
    </row>
    <row r="47" customHeight="1" spans="2:9">
      <c r="B47" s="275" t="s">
        <v>132</v>
      </c>
      <c r="C47" s="282">
        <v>0</v>
      </c>
      <c r="D47" s="303"/>
      <c r="E47" s="276"/>
      <c r="I47" s="324"/>
    </row>
    <row r="48" customHeight="1" spans="2:9">
      <c r="B48" s="275" t="s">
        <v>133</v>
      </c>
      <c r="C48" s="318">
        <v>0.8</v>
      </c>
      <c r="D48" s="275" t="s">
        <v>134</v>
      </c>
      <c r="E48" s="276"/>
      <c r="I48" s="324"/>
    </row>
    <row r="49" ht="19.05" customHeight="1" spans="2:9">
      <c r="B49" s="275" t="s">
        <v>135</v>
      </c>
      <c r="C49" s="275">
        <f>(C46*C44-C45*C47)/10000*C48</f>
        <v>0</v>
      </c>
      <c r="D49" s="275"/>
      <c r="E49" s="276"/>
      <c r="I49" s="324"/>
    </row>
    <row r="50" customHeight="1" spans="2:9">
      <c r="B50" s="331" t="s">
        <v>136</v>
      </c>
      <c r="C50" s="331">
        <f>C49*12</f>
        <v>0</v>
      </c>
      <c r="D50" s="275"/>
      <c r="E50" s="276"/>
      <c r="I50" s="324"/>
    </row>
    <row r="51" ht="36" customHeight="1" spans="2:9">
      <c r="B51" s="337" t="s">
        <v>137</v>
      </c>
      <c r="C51" s="285">
        <v>0</v>
      </c>
      <c r="D51" s="303" t="s">
        <v>138</v>
      </c>
      <c r="E51" s="276"/>
      <c r="I51" s="324"/>
    </row>
    <row r="52" ht="43.05" customHeight="1" spans="2:9">
      <c r="B52" s="337" t="s">
        <v>139</v>
      </c>
      <c r="C52" s="285">
        <v>0</v>
      </c>
      <c r="D52" s="303" t="s">
        <v>140</v>
      </c>
      <c r="E52" s="276"/>
      <c r="I52" s="324"/>
    </row>
    <row r="53" ht="27" customHeight="1" spans="2:9">
      <c r="B53" s="331" t="s">
        <v>141</v>
      </c>
      <c r="C53" s="331">
        <f>C51*C11/10000</f>
        <v>0</v>
      </c>
      <c r="E53" s="276"/>
      <c r="I53" s="324"/>
    </row>
    <row r="54" ht="26" customHeight="1" spans="2:9">
      <c r="B54" s="285" t="s">
        <v>142</v>
      </c>
      <c r="C54" s="288">
        <v>0</v>
      </c>
      <c r="D54" s="303" t="s">
        <v>143</v>
      </c>
      <c r="E54" s="276"/>
      <c r="I54" s="324"/>
    </row>
    <row r="55" customHeight="1" spans="2:16">
      <c r="B55" s="331" t="s">
        <v>144</v>
      </c>
      <c r="C55" s="331">
        <v>0</v>
      </c>
      <c r="D55" s="275" t="s">
        <v>145</v>
      </c>
      <c r="E55" s="276"/>
      <c r="I55" s="324"/>
      <c r="J55" s="324"/>
      <c r="K55" s="327"/>
      <c r="L55" s="327"/>
      <c r="M55" s="38"/>
      <c r="N55" s="38"/>
      <c r="O55" s="38"/>
      <c r="P55" s="38"/>
    </row>
    <row r="56" customHeight="1" spans="2:16">
      <c r="B56" s="305" t="s">
        <v>146</v>
      </c>
      <c r="C56" s="306"/>
      <c r="D56" s="307"/>
      <c r="E56" s="276"/>
      <c r="I56" s="324"/>
      <c r="J56" s="324"/>
      <c r="K56" s="327"/>
      <c r="L56" s="327"/>
      <c r="M56" s="38"/>
      <c r="N56" s="38"/>
      <c r="O56" s="38"/>
      <c r="P56" s="38"/>
    </row>
    <row r="57" customHeight="1" spans="2:16">
      <c r="B57" s="275" t="s">
        <v>147</v>
      </c>
      <c r="C57" s="309">
        <v>1</v>
      </c>
      <c r="D57" s="275" t="s">
        <v>148</v>
      </c>
      <c r="E57" s="276"/>
      <c r="I57" s="324"/>
      <c r="J57" s="324"/>
      <c r="K57" s="327"/>
      <c r="L57" s="327"/>
      <c r="M57" s="38"/>
      <c r="N57" s="38"/>
      <c r="O57" s="38"/>
      <c r="P57" s="38"/>
    </row>
    <row r="58" customHeight="1" spans="2:16">
      <c r="B58" s="275" t="s">
        <v>149</v>
      </c>
      <c r="C58" s="338">
        <v>0.0005</v>
      </c>
      <c r="D58" s="330" t="s">
        <v>150</v>
      </c>
      <c r="E58" s="276"/>
      <c r="I58" s="324"/>
      <c r="J58" s="324"/>
      <c r="K58" s="327"/>
      <c r="L58" s="327"/>
      <c r="M58" s="38"/>
      <c r="N58" s="38"/>
      <c r="O58" s="38"/>
      <c r="P58" s="38"/>
    </row>
    <row r="59" customHeight="1" spans="2:16">
      <c r="B59" s="275" t="s">
        <v>151</v>
      </c>
      <c r="C59" s="275">
        <v>2</v>
      </c>
      <c r="D59" s="275"/>
      <c r="E59" s="276"/>
      <c r="I59" s="324"/>
      <c r="J59" s="324"/>
      <c r="K59" s="327"/>
      <c r="L59" s="327"/>
      <c r="M59" s="38"/>
      <c r="N59" s="38"/>
      <c r="O59" s="38"/>
      <c r="P59" s="38"/>
    </row>
    <row r="60" customHeight="1" spans="2:16">
      <c r="B60" s="275" t="s">
        <v>152</v>
      </c>
      <c r="C60" s="275">
        <v>5</v>
      </c>
      <c r="D60" s="275"/>
      <c r="E60" s="276"/>
      <c r="I60" s="324"/>
      <c r="J60" s="324"/>
      <c r="K60" s="327"/>
      <c r="L60" s="327"/>
      <c r="M60" s="38"/>
      <c r="N60" s="38"/>
      <c r="O60" s="38"/>
      <c r="P60" s="38"/>
    </row>
    <row r="61" customHeight="1" spans="2:16">
      <c r="B61" s="275" t="s">
        <v>153</v>
      </c>
      <c r="C61" s="282">
        <f>IF(C57=1,0,C7*D61)</f>
        <v>0</v>
      </c>
      <c r="D61" s="318">
        <v>0.007</v>
      </c>
      <c r="E61" s="276"/>
      <c r="J61" s="324"/>
      <c r="K61" s="327"/>
      <c r="L61" s="327"/>
      <c r="M61" s="38"/>
      <c r="N61" s="38"/>
      <c r="O61" s="38"/>
      <c r="P61" s="38"/>
    </row>
    <row r="62" customHeight="1" spans="2:16">
      <c r="B62" s="339" t="s">
        <v>154</v>
      </c>
      <c r="C62" s="340">
        <f>IF(C57=1,C58*C7,C59*C60)+C61*C7</f>
        <v>0.237035714285714</v>
      </c>
      <c r="D62" s="275"/>
      <c r="E62" s="276"/>
      <c r="G62" s="28"/>
      <c r="H62" s="28"/>
      <c r="J62" s="324"/>
      <c r="K62" s="327"/>
      <c r="L62" s="327"/>
      <c r="M62" s="38"/>
      <c r="N62" s="38"/>
      <c r="O62" s="38"/>
      <c r="P62" s="38"/>
    </row>
    <row r="63" customHeight="1" spans="2:16">
      <c r="B63" s="275" t="s">
        <v>155</v>
      </c>
      <c r="C63" s="275">
        <f>'储能-设备工程参数'!D14</f>
        <v>500</v>
      </c>
      <c r="D63" s="275"/>
      <c r="E63" s="276"/>
      <c r="F63" s="28"/>
      <c r="G63" s="341"/>
      <c r="H63" s="341"/>
      <c r="J63" s="324"/>
      <c r="K63" s="327"/>
      <c r="L63" s="327"/>
      <c r="M63" s="38"/>
      <c r="N63" s="38"/>
      <c r="O63" s="38"/>
      <c r="P63" s="38"/>
    </row>
    <row r="64" customHeight="1" spans="2:16">
      <c r="B64" s="275" t="s">
        <v>156</v>
      </c>
      <c r="C64" s="275">
        <f>'储能-设备工程参数'!C40</f>
        <v>6</v>
      </c>
      <c r="D64" s="275"/>
      <c r="E64" s="276"/>
      <c r="F64" s="341"/>
      <c r="G64" s="342"/>
      <c r="H64" s="342"/>
      <c r="K64" s="327"/>
      <c r="L64" s="327"/>
      <c r="M64" s="38"/>
      <c r="N64" s="38"/>
      <c r="O64" s="38"/>
      <c r="P64" s="38"/>
    </row>
    <row r="65" customHeight="1" spans="2:16">
      <c r="B65" s="275" t="s">
        <v>157</v>
      </c>
      <c r="C65" s="275">
        <v>0</v>
      </c>
      <c r="D65" s="330" t="s">
        <v>158</v>
      </c>
      <c r="E65" s="276"/>
      <c r="F65" s="341"/>
      <c r="G65" s="342"/>
      <c r="H65" s="342"/>
      <c r="K65" s="327"/>
      <c r="L65" s="327"/>
      <c r="M65" s="38"/>
      <c r="N65" s="38"/>
      <c r="O65" s="38"/>
      <c r="P65" s="38"/>
    </row>
    <row r="66" customHeight="1" spans="2:16">
      <c r="B66" s="339" t="s">
        <v>159</v>
      </c>
      <c r="C66" s="339">
        <f>C65*C63*C10/10000</f>
        <v>0</v>
      </c>
      <c r="D66" s="343" t="s">
        <v>160</v>
      </c>
      <c r="F66" s="342"/>
      <c r="G66" s="327"/>
      <c r="H66" s="327"/>
      <c r="K66" s="327"/>
      <c r="L66" s="327"/>
      <c r="M66" s="38"/>
      <c r="N66" s="38"/>
      <c r="O66" s="38"/>
      <c r="P66" s="38"/>
    </row>
    <row r="67" customHeight="1" spans="2:16">
      <c r="B67" s="275" t="s">
        <v>161</v>
      </c>
      <c r="C67" s="318">
        <f>0.1%</f>
        <v>0.001</v>
      </c>
      <c r="D67" s="307" t="s">
        <v>162</v>
      </c>
      <c r="E67" s="275">
        <v>1</v>
      </c>
      <c r="F67" s="344"/>
      <c r="G67" s="344"/>
      <c r="H67" s="38"/>
      <c r="I67" s="38"/>
      <c r="K67" s="327"/>
      <c r="L67" s="327"/>
      <c r="M67" s="38"/>
      <c r="N67" s="38"/>
      <c r="O67" s="38"/>
      <c r="P67" s="38"/>
    </row>
    <row r="68" customHeight="1" spans="2:16">
      <c r="B68" s="339" t="s">
        <v>163</v>
      </c>
      <c r="C68" s="340">
        <f>C67*C7</f>
        <v>0.474071428571429</v>
      </c>
      <c r="D68" s="307"/>
      <c r="E68" s="276"/>
      <c r="F68" s="344"/>
      <c r="G68" s="344"/>
      <c r="H68" s="38"/>
      <c r="I68" s="38"/>
      <c r="K68" s="327"/>
      <c r="L68" s="327"/>
      <c r="M68" s="38"/>
      <c r="N68" s="38"/>
      <c r="O68" s="38"/>
      <c r="P68" s="38"/>
    </row>
    <row r="69" customHeight="1" spans="2:16">
      <c r="B69" s="339" t="s">
        <v>164</v>
      </c>
      <c r="C69" s="345">
        <f>C10/1000*D69</f>
        <v>212.142857142857</v>
      </c>
      <c r="D69" s="275">
        <v>33</v>
      </c>
      <c r="E69" s="346" t="s">
        <v>165</v>
      </c>
      <c r="F69" s="344"/>
      <c r="G69" s="344"/>
      <c r="H69" s="38"/>
      <c r="I69" s="38"/>
      <c r="K69" s="38"/>
      <c r="L69" s="38"/>
      <c r="M69" s="38"/>
      <c r="N69" s="38"/>
      <c r="O69" s="38"/>
      <c r="P69" s="38"/>
    </row>
    <row r="70" customHeight="1" spans="2:16">
      <c r="B70" s="339" t="s">
        <v>166</v>
      </c>
      <c r="C70" s="345">
        <f>C69*G16/10000</f>
        <v>0</v>
      </c>
      <c r="D70" s="275"/>
      <c r="E70" s="347">
        <v>0</v>
      </c>
      <c r="F70" s="344"/>
      <c r="G70" s="344"/>
      <c r="H70" s="38"/>
      <c r="I70" s="38"/>
      <c r="K70" s="38"/>
      <c r="L70" s="38"/>
      <c r="M70" s="38"/>
      <c r="N70" s="38"/>
      <c r="O70" s="38"/>
      <c r="P70" s="38"/>
    </row>
    <row r="71" customHeight="1" spans="2:16">
      <c r="B71" s="339" t="s">
        <v>167</v>
      </c>
      <c r="C71" s="345">
        <f>D71*C8*C15*C18*C37/10000</f>
        <v>1.512</v>
      </c>
      <c r="D71" s="323">
        <v>0.03</v>
      </c>
      <c r="F71" s="344"/>
      <c r="G71" s="344"/>
      <c r="H71" s="38"/>
      <c r="I71" s="38"/>
      <c r="J71" s="38"/>
      <c r="K71" s="38"/>
      <c r="L71" s="38"/>
      <c r="M71" s="38"/>
      <c r="N71" s="38"/>
      <c r="O71" s="38"/>
      <c r="P71" s="38"/>
    </row>
    <row r="72" customHeight="1" spans="2:16">
      <c r="B72" s="305" t="s">
        <v>168</v>
      </c>
      <c r="C72" s="306"/>
      <c r="D72" s="307"/>
      <c r="F72" s="348"/>
      <c r="G72" s="344"/>
      <c r="H72" s="38"/>
      <c r="I72" s="38"/>
      <c r="J72" s="38"/>
      <c r="K72" s="38"/>
      <c r="L72" s="38"/>
      <c r="M72" s="38"/>
      <c r="N72" s="38"/>
      <c r="O72" s="38"/>
      <c r="P72" s="38"/>
    </row>
    <row r="73" customHeight="1" spans="2:16">
      <c r="B73" s="275" t="s">
        <v>1</v>
      </c>
      <c r="C73" s="323">
        <v>0.17</v>
      </c>
      <c r="D73" s="275"/>
      <c r="E73" s="309"/>
      <c r="F73" s="344"/>
      <c r="G73" s="344"/>
      <c r="H73" s="38"/>
      <c r="I73" s="38"/>
      <c r="J73" s="38"/>
      <c r="K73" s="38"/>
      <c r="L73" s="38"/>
      <c r="M73" s="38"/>
      <c r="N73" s="38"/>
      <c r="O73" s="38"/>
      <c r="P73" s="38"/>
    </row>
    <row r="74" customHeight="1" spans="2:16">
      <c r="B74" s="275" t="s">
        <v>169</v>
      </c>
      <c r="C74" s="323">
        <v>0.06</v>
      </c>
      <c r="D74" s="275"/>
      <c r="E74" s="276"/>
      <c r="F74" s="344"/>
      <c r="G74" s="344"/>
      <c r="H74" s="38"/>
      <c r="I74" s="38"/>
      <c r="J74" s="38"/>
      <c r="K74" s="38"/>
      <c r="L74" s="38"/>
      <c r="M74" s="38"/>
      <c r="N74" s="38"/>
      <c r="O74" s="38"/>
      <c r="P74" s="38"/>
    </row>
    <row r="75" customHeight="1" spans="2:16">
      <c r="B75" s="275" t="s">
        <v>170</v>
      </c>
      <c r="C75" s="323">
        <f>'储能-设备工程参数'!C36</f>
        <v>0.763447340665964</v>
      </c>
      <c r="D75" s="275" t="s">
        <v>171</v>
      </c>
      <c r="E75" s="276"/>
      <c r="F75" s="344"/>
      <c r="G75" s="344"/>
      <c r="H75" s="38"/>
      <c r="I75" s="38"/>
      <c r="J75" s="38"/>
      <c r="K75" s="38"/>
      <c r="L75" s="38"/>
      <c r="M75" s="38"/>
      <c r="N75" s="38"/>
      <c r="O75" s="38"/>
      <c r="P75" s="38"/>
    </row>
    <row r="76" customHeight="1" spans="2:16">
      <c r="B76" s="275" t="s">
        <v>172</v>
      </c>
      <c r="C76" s="346"/>
      <c r="D76" s="275"/>
      <c r="E76" s="276"/>
      <c r="F76" s="344"/>
      <c r="G76" s="344"/>
      <c r="H76" s="38"/>
      <c r="I76" s="38"/>
      <c r="J76" s="38"/>
      <c r="K76" s="38"/>
      <c r="L76" s="38"/>
      <c r="M76" s="38"/>
      <c r="N76" s="38"/>
      <c r="O76" s="38"/>
      <c r="P76" s="38"/>
    </row>
    <row r="77" customHeight="1" spans="2:16">
      <c r="B77" s="275" t="s">
        <v>173</v>
      </c>
      <c r="C77" s="323">
        <v>0.25</v>
      </c>
      <c r="D77" s="275"/>
      <c r="E77" s="309"/>
      <c r="F77" s="344"/>
      <c r="G77" s="344"/>
      <c r="H77" s="38"/>
      <c r="I77" s="38"/>
      <c r="J77" s="38"/>
      <c r="K77" s="38"/>
      <c r="L77" s="38"/>
      <c r="M77" s="38"/>
      <c r="N77" s="38"/>
      <c r="O77" s="38"/>
      <c r="P77" s="38"/>
    </row>
    <row r="78" customHeight="1" spans="2:16">
      <c r="B78" s="275" t="s">
        <v>174</v>
      </c>
      <c r="C78" s="276"/>
      <c r="D78" s="275"/>
      <c r="E78" s="276"/>
      <c r="F78" s="344"/>
      <c r="G78" s="344"/>
      <c r="H78" s="38"/>
      <c r="I78" s="38"/>
      <c r="J78" s="38"/>
      <c r="K78" s="38"/>
      <c r="L78" s="38"/>
      <c r="M78" s="38"/>
      <c r="N78" s="38"/>
      <c r="O78" s="38"/>
      <c r="P78" s="38"/>
    </row>
    <row r="79" customHeight="1" spans="2:16">
      <c r="B79" s="275" t="s">
        <v>175</v>
      </c>
      <c r="C79" s="323">
        <v>0.02</v>
      </c>
      <c r="D79" s="275" t="s">
        <v>176</v>
      </c>
      <c r="E79" s="276"/>
      <c r="F79" s="344"/>
      <c r="G79" s="344"/>
      <c r="H79" s="38"/>
      <c r="I79" s="38"/>
      <c r="J79" s="38"/>
      <c r="K79" s="38"/>
      <c r="L79" s="38"/>
      <c r="M79" s="38"/>
      <c r="N79" s="38"/>
      <c r="O79" s="38"/>
      <c r="P79" s="38"/>
    </row>
    <row r="80" customHeight="1" spans="2:16">
      <c r="B80" s="349" t="s">
        <v>177</v>
      </c>
      <c r="C80" s="323">
        <v>0.12</v>
      </c>
      <c r="D80" s="303" t="s">
        <v>178</v>
      </c>
      <c r="E80" s="276"/>
      <c r="F80" s="344"/>
      <c r="G80" s="344"/>
      <c r="H80" s="38"/>
      <c r="I80" s="38"/>
      <c r="J80" s="38"/>
      <c r="K80" s="38"/>
      <c r="L80" s="38"/>
      <c r="M80" s="38"/>
      <c r="N80" s="38"/>
      <c r="O80" s="38"/>
      <c r="P80" s="38"/>
    </row>
    <row r="81" customHeight="1" spans="2:16">
      <c r="B81" s="275" t="s">
        <v>179</v>
      </c>
      <c r="C81" s="323">
        <v>0</v>
      </c>
      <c r="D81" s="275" t="s">
        <v>180</v>
      </c>
      <c r="E81" s="276"/>
      <c r="F81" s="344"/>
      <c r="G81" s="344"/>
      <c r="H81" s="38"/>
      <c r="I81" s="38"/>
      <c r="J81" s="38"/>
      <c r="K81" s="38"/>
      <c r="L81" s="38"/>
      <c r="M81" s="38"/>
      <c r="N81" s="38"/>
      <c r="O81" s="38"/>
      <c r="P81" s="38"/>
    </row>
    <row r="82" ht="25.05" customHeight="1" spans="2:16">
      <c r="B82" s="275" t="s">
        <v>181</v>
      </c>
      <c r="C82" s="323">
        <v>0.08</v>
      </c>
      <c r="D82" s="276"/>
      <c r="E82" s="276"/>
      <c r="F82" s="344"/>
      <c r="G82" s="344"/>
      <c r="H82" s="38"/>
      <c r="I82" s="38"/>
      <c r="J82" s="38"/>
      <c r="K82" s="38"/>
      <c r="L82" s="38"/>
      <c r="M82" s="38"/>
      <c r="N82" s="38"/>
      <c r="O82" s="38"/>
      <c r="P82" s="38"/>
    </row>
    <row r="83" ht="31.5" customHeight="1" spans="2:16">
      <c r="B83" s="275" t="s">
        <v>182</v>
      </c>
      <c r="C83" s="275">
        <v>0</v>
      </c>
      <c r="D83" s="330" t="s">
        <v>183</v>
      </c>
      <c r="E83" s="276"/>
      <c r="F83" s="344"/>
      <c r="G83" s="344"/>
      <c r="H83" s="38"/>
      <c r="I83" s="38"/>
      <c r="J83" s="38"/>
      <c r="K83" s="38"/>
      <c r="L83" s="38"/>
      <c r="M83" s="38"/>
      <c r="N83" s="38"/>
      <c r="O83" s="38"/>
      <c r="P83" s="38"/>
    </row>
    <row r="84" ht="27.5" customHeight="1" spans="5:16">
      <c r="E84" s="276"/>
      <c r="F84" s="344"/>
      <c r="G84" s="344"/>
      <c r="H84" s="38"/>
      <c r="I84" s="38"/>
      <c r="J84" s="38"/>
      <c r="K84" s="38"/>
      <c r="L84" s="38"/>
      <c r="M84" s="38"/>
      <c r="N84" s="38"/>
      <c r="O84" s="38"/>
      <c r="P84" s="38"/>
    </row>
    <row r="85" ht="27.5" customHeight="1" spans="5:16">
      <c r="E85" s="276"/>
      <c r="F85" s="344"/>
      <c r="G85" s="344"/>
      <c r="H85" s="38"/>
      <c r="I85" s="38"/>
      <c r="J85" s="38"/>
      <c r="K85" s="38"/>
      <c r="L85" s="38"/>
      <c r="M85" s="38"/>
      <c r="N85" s="38"/>
      <c r="O85" s="38"/>
      <c r="P85" s="38"/>
    </row>
    <row r="86" ht="30.5" customHeight="1" spans="5:16">
      <c r="E86" s="276"/>
      <c r="F86" s="344"/>
      <c r="G86" s="344"/>
      <c r="H86" s="38"/>
      <c r="I86" s="38"/>
      <c r="J86" s="38"/>
      <c r="K86" s="38"/>
      <c r="L86" s="38"/>
      <c r="M86" s="38"/>
      <c r="N86" s="38"/>
      <c r="O86" s="38"/>
      <c r="P86" s="38"/>
    </row>
    <row r="87" customHeight="1" spans="5:16">
      <c r="E87" s="276"/>
      <c r="F87" s="344"/>
      <c r="G87" s="344"/>
      <c r="H87" s="38"/>
      <c r="I87" s="38"/>
      <c r="J87" s="38"/>
      <c r="K87" s="38"/>
      <c r="L87" s="38"/>
      <c r="M87" s="38"/>
      <c r="N87" s="38"/>
      <c r="O87" s="38"/>
      <c r="P87" s="38"/>
    </row>
    <row r="88" customHeight="1" spans="6:16">
      <c r="F88" s="38"/>
      <c r="G88" s="38"/>
      <c r="H88" s="38"/>
      <c r="I88" s="38"/>
      <c r="J88" s="38"/>
      <c r="K88" s="38"/>
      <c r="L88" s="38"/>
      <c r="M88" s="38"/>
      <c r="N88" s="38"/>
      <c r="O88" s="38"/>
      <c r="P88" s="38"/>
    </row>
    <row r="89" customHeight="1" spans="6:16">
      <c r="F89" s="38"/>
      <c r="G89" s="38"/>
      <c r="H89" s="38"/>
      <c r="I89" s="38"/>
      <c r="J89" s="38"/>
      <c r="K89" s="38"/>
      <c r="L89" s="38"/>
      <c r="M89" s="38"/>
      <c r="N89" s="38"/>
      <c r="O89" s="38"/>
      <c r="P89" s="38"/>
    </row>
    <row r="90" customHeight="1" spans="6:16">
      <c r="F90" s="38"/>
      <c r="G90" s="38"/>
      <c r="H90" s="38"/>
      <c r="I90" s="38"/>
      <c r="J90" s="38"/>
      <c r="K90" s="38"/>
      <c r="L90" s="38"/>
      <c r="M90" s="38"/>
      <c r="N90" s="38"/>
      <c r="O90" s="38"/>
      <c r="P90" s="38"/>
    </row>
    <row r="91" customHeight="1" spans="10:13">
      <c r="J91" s="38"/>
      <c r="K91" s="38"/>
      <c r="L91" s="38"/>
      <c r="M91" s="38"/>
    </row>
    <row r="92" customHeight="1" spans="10:13">
      <c r="J92" s="38"/>
      <c r="K92" s="38"/>
      <c r="L92" s="38"/>
      <c r="M92" s="38"/>
    </row>
    <row r="93" customHeight="1" spans="10:13">
      <c r="J93" s="38"/>
      <c r="M93" s="38"/>
    </row>
  </sheetData>
  <mergeCells count="8">
    <mergeCell ref="C2:D2"/>
    <mergeCell ref="C3:D3"/>
    <mergeCell ref="F5:G5"/>
    <mergeCell ref="B6:D6"/>
    <mergeCell ref="B20:D20"/>
    <mergeCell ref="B32:D32"/>
    <mergeCell ref="B56:D56"/>
    <mergeCell ref="B72:D72"/>
  </mergeCells>
  <dataValidations count="2">
    <dataValidation type="list" allowBlank="1" showInputMessage="1" showErrorMessage="1" sqref="C21">
      <formula1>"0,1,2"</formula1>
    </dataValidation>
    <dataValidation type="list" allowBlank="1" showInputMessage="1" showErrorMessage="1" sqref="C31 C57 E67">
      <formula1>"0,1"</formula1>
    </dataValidation>
  </dataValidations>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Y95"/>
  <sheetViews>
    <sheetView zoomScale="70" zoomScaleNormal="70" workbookViewId="0">
      <pane xSplit="4" ySplit="4" topLeftCell="E29" activePane="bottomRight" state="frozen"/>
      <selection/>
      <selection pane="topRight"/>
      <selection pane="bottomLeft"/>
      <selection pane="bottomRight" activeCell="K28" sqref="K28"/>
    </sheetView>
  </sheetViews>
  <sheetFormatPr defaultColWidth="9.4" defaultRowHeight="28.05" customHeight="1"/>
  <cols>
    <col min="1" max="1" width="8.6" style="239" customWidth="1"/>
    <col min="2" max="2" width="14.7333333333333" style="7" customWidth="1"/>
    <col min="3" max="3" width="16.7333333333333" style="7" customWidth="1"/>
    <col min="4" max="4" width="10.8666666666667" style="7" customWidth="1"/>
    <col min="5" max="5" width="11.4" style="7" customWidth="1"/>
    <col min="6" max="11" width="10.0666666666667" style="7" customWidth="1"/>
    <col min="12" max="12" width="10.0666666666667" customWidth="1"/>
    <col min="13" max="13" width="13" customWidth="1"/>
    <col min="14" max="14" width="8.66666666666667" customWidth="1"/>
    <col min="26" max="16384" width="9.4" style="7"/>
  </cols>
  <sheetData>
    <row r="2" customHeight="1" spans="1:12">
      <c r="A2" s="118" t="s">
        <v>184</v>
      </c>
      <c r="B2" s="8" t="s">
        <v>185</v>
      </c>
      <c r="C2" s="8" t="s">
        <v>8</v>
      </c>
      <c r="D2" s="8" t="s">
        <v>186</v>
      </c>
      <c r="E2" s="8" t="s">
        <v>187</v>
      </c>
      <c r="F2" s="8" t="s">
        <v>188</v>
      </c>
      <c r="G2" s="8"/>
      <c r="H2" s="8"/>
      <c r="I2" s="8"/>
      <c r="J2" s="8"/>
      <c r="K2" s="8"/>
      <c r="L2" s="8"/>
    </row>
    <row r="3" customHeight="1" spans="1:17">
      <c r="A3" s="118"/>
      <c r="B3" s="8"/>
      <c r="C3" s="8"/>
      <c r="D3" s="8"/>
      <c r="E3" s="8">
        <v>2016</v>
      </c>
      <c r="F3" s="8">
        <v>2017</v>
      </c>
      <c r="G3" s="8">
        <v>2018</v>
      </c>
      <c r="H3" s="8">
        <v>2019</v>
      </c>
      <c r="I3" s="8">
        <v>2020</v>
      </c>
      <c r="J3" s="8">
        <v>2021</v>
      </c>
      <c r="K3" s="8">
        <v>2022</v>
      </c>
      <c r="L3" s="20">
        <v>2023</v>
      </c>
      <c r="M3" s="8">
        <v>2024</v>
      </c>
      <c r="N3" s="8">
        <v>2025</v>
      </c>
      <c r="O3" s="8">
        <v>2026</v>
      </c>
      <c r="P3" s="8">
        <v>2027</v>
      </c>
      <c r="Q3" s="8">
        <v>2028</v>
      </c>
    </row>
    <row r="4" customHeight="1" spans="1:17">
      <c r="A4" s="118"/>
      <c r="B4" s="8"/>
      <c r="C4" s="8"/>
      <c r="D4" s="8"/>
      <c r="E4" s="8">
        <v>0</v>
      </c>
      <c r="F4" s="8">
        <v>1</v>
      </c>
      <c r="G4" s="8">
        <v>2</v>
      </c>
      <c r="H4" s="8">
        <v>3</v>
      </c>
      <c r="I4" s="8">
        <v>4</v>
      </c>
      <c r="J4" s="8">
        <v>5</v>
      </c>
      <c r="K4" s="8">
        <v>6</v>
      </c>
      <c r="L4" s="270">
        <v>7</v>
      </c>
      <c r="M4" s="8">
        <v>8</v>
      </c>
      <c r="N4" s="270">
        <v>9</v>
      </c>
      <c r="O4" s="8">
        <v>10</v>
      </c>
      <c r="P4" s="270">
        <v>11</v>
      </c>
      <c r="Q4" s="8">
        <v>12</v>
      </c>
    </row>
    <row r="5" s="236" customFormat="1" customHeight="1" spans="1:25">
      <c r="A5" s="240">
        <v>1</v>
      </c>
      <c r="B5" s="241" t="s">
        <v>189</v>
      </c>
      <c r="C5" s="242" t="s">
        <v>190</v>
      </c>
      <c r="D5" s="243">
        <f>SUM(F5:Q5)</f>
        <v>1580.37238879822</v>
      </c>
      <c r="E5" s="241"/>
      <c r="F5" s="243">
        <f>F6+F7</f>
        <v>143.69985</v>
      </c>
      <c r="G5" s="243">
        <f t="shared" ref="G5:K5" si="0">G6+G7</f>
        <v>138.67035525</v>
      </c>
      <c r="H5" s="243">
        <f t="shared" si="0"/>
        <v>133.81689281625</v>
      </c>
      <c r="I5" s="243">
        <f t="shared" si="0"/>
        <v>129.133301567681</v>
      </c>
      <c r="J5" s="243">
        <f t="shared" si="0"/>
        <v>124.613636012812</v>
      </c>
      <c r="K5" s="243">
        <f t="shared" si="0"/>
        <v>120.252158752364</v>
      </c>
      <c r="L5" s="243">
        <f>F5</f>
        <v>143.69985</v>
      </c>
      <c r="M5" s="243">
        <f>G5</f>
        <v>138.67035525</v>
      </c>
      <c r="N5" s="243">
        <f t="shared" ref="N5:Q5" si="1">H5</f>
        <v>133.81689281625</v>
      </c>
      <c r="O5" s="243">
        <f t="shared" si="1"/>
        <v>129.133301567681</v>
      </c>
      <c r="P5" s="243">
        <f t="shared" si="1"/>
        <v>124.613636012812</v>
      </c>
      <c r="Q5" s="243">
        <f t="shared" si="1"/>
        <v>120.252158752364</v>
      </c>
      <c r="R5"/>
      <c r="S5"/>
      <c r="T5"/>
      <c r="U5"/>
      <c r="V5"/>
      <c r="W5"/>
      <c r="X5"/>
      <c r="Y5"/>
    </row>
    <row r="6" s="28" customFormat="1" customHeight="1" spans="1:25">
      <c r="A6" s="244">
        <v>1.1</v>
      </c>
      <c r="B6" s="20" t="s">
        <v>191</v>
      </c>
      <c r="C6" s="245"/>
      <c r="D6" s="128"/>
      <c r="E6" s="20"/>
      <c r="F6" s="128">
        <f>IF(F4-1&lt;'储能-设备工程参数'!$C$42,IF('储能-设备工程参数'!$C$42-F4+1&gt;1,'储能-投资参数'!$C$8*'储能-投资参数'!$C$13*'储能-投资参数'!$C$18*'储能-投资参数'!$C$15/10000*(1-'储能-投资参数'!$C$14)^('储能-计算界面-年'!F4-1),('储能-设备工程参数'!$C$42+1-F4)*'储能-投资参数'!$C$8*'储能-投资参数'!$C$13*'储能-投资参数'!$C$18*'储能-投资参数'!$C$15/10000*(1-'储能-投资参数'!$C$14)^('储能-计算界面-年'!F4-1)),0)</f>
        <v>143.69985</v>
      </c>
      <c r="G6" s="128">
        <f>IF(G4-1&lt;'储能-设备工程参数'!$C$42,IF('储能-设备工程参数'!$C$42-G4+1&gt;1,'储能-投资参数'!$C$8*'储能-投资参数'!$C$13*'储能-投资参数'!$C$18*'储能-投资参数'!$C$15/10000*(1-'储能-投资参数'!$C$14)^('储能-计算界面-年'!G4-1),('储能-设备工程参数'!$C$42+1-G4)*'储能-投资参数'!$C$8*'储能-投资参数'!$C$13*'储能-投资参数'!$C$18*'储能-投资参数'!$C$15/10000*(1-'储能-投资参数'!$C$14)^('储能-计算界面-年'!G4-1)),0)</f>
        <v>138.67035525</v>
      </c>
      <c r="H6" s="128">
        <f>IF(H4-1&lt;'储能-设备工程参数'!$C$42,IF('储能-设备工程参数'!$C$42-H4+1&gt;1,'储能-投资参数'!$C$8*'储能-投资参数'!$C$13*'储能-投资参数'!$C$18*'储能-投资参数'!$C$15/10000*(1-'储能-投资参数'!$C$14)^('储能-计算界面-年'!H4-1),('储能-设备工程参数'!$C$42+1-H4)*'储能-投资参数'!$C$8*'储能-投资参数'!$C$13*'储能-投资参数'!$C$18*'储能-投资参数'!$C$15/10000*(1-'储能-投资参数'!$C$14)^('储能-计算界面-年'!H4-1)),0)</f>
        <v>133.81689281625</v>
      </c>
      <c r="I6" s="128">
        <f>IF(I4-1&lt;'储能-设备工程参数'!$C$42,IF('储能-设备工程参数'!$C$42-I4+1&gt;1,'储能-投资参数'!$C$8*'储能-投资参数'!$C$13*'储能-投资参数'!$C$18*'储能-投资参数'!$C$15/10000*(1-'储能-投资参数'!$C$14)^('储能-计算界面-年'!I4-1),('储能-设备工程参数'!$C$42+1-I4)*'储能-投资参数'!$C$8*'储能-投资参数'!$C$13*'储能-投资参数'!$C$18*'储能-投资参数'!$C$15/10000*(1-'储能-投资参数'!$C$14)^('储能-计算界面-年'!I4-1)),0)</f>
        <v>129.133301567681</v>
      </c>
      <c r="J6" s="128">
        <f>IF(J4-1&lt;'储能-设备工程参数'!$C$42,IF('储能-设备工程参数'!$C$42-J4+1&gt;1,'储能-投资参数'!$C$8*'储能-投资参数'!$C$13*'储能-投资参数'!$C$18*'储能-投资参数'!$C$15/10000*(1-'储能-投资参数'!$C$14)^('储能-计算界面-年'!J4-1),('储能-设备工程参数'!$C$42+1-J4)*'储能-投资参数'!$C$8*'储能-投资参数'!$C$13*'储能-投资参数'!$C$18*'储能-投资参数'!$C$15/10000*(1-'储能-投资参数'!$C$14)^('储能-计算界面-年'!J4-1)),0)</f>
        <v>124.613636012812</v>
      </c>
      <c r="K6" s="128">
        <f>IF(K4-1&lt;'储能-设备工程参数'!$C$42,IF('储能-设备工程参数'!$C$42-K4+1&gt;1,'储能-投资参数'!$C$8*'储能-投资参数'!$C$13*'储能-投资参数'!$C$18*'储能-投资参数'!$C$15/10000*(1-'储能-投资参数'!$C$14)^('储能-计算界面-年'!K4-1),('储能-设备工程参数'!$C$42+1-K4)*'储能-投资参数'!$C$8*'储能-投资参数'!$C$13*'储能-投资参数'!$C$18*'储能-投资参数'!$C$15/10000*(1-'储能-投资参数'!$C$14)^('储能-计算界面-年'!K4-1)),0)</f>
        <v>120.252158752364</v>
      </c>
      <c r="L6" s="128">
        <f>F6</f>
        <v>143.69985</v>
      </c>
      <c r="M6" s="128">
        <f t="shared" ref="M6:Q6" si="2">G6</f>
        <v>138.67035525</v>
      </c>
      <c r="N6" s="128">
        <f t="shared" si="2"/>
        <v>133.81689281625</v>
      </c>
      <c r="O6" s="128">
        <f t="shared" si="2"/>
        <v>129.133301567681</v>
      </c>
      <c r="P6" s="128">
        <f t="shared" si="2"/>
        <v>124.613636012812</v>
      </c>
      <c r="Q6" s="128">
        <f t="shared" si="2"/>
        <v>120.252158752364</v>
      </c>
      <c r="R6"/>
      <c r="S6"/>
      <c r="T6"/>
      <c r="U6"/>
      <c r="V6"/>
      <c r="W6"/>
      <c r="X6"/>
      <c r="Y6"/>
    </row>
    <row r="7" s="28" customFormat="1" customHeight="1" spans="1:25">
      <c r="A7" s="244">
        <v>1.2</v>
      </c>
      <c r="B7" s="20" t="s">
        <v>192</v>
      </c>
      <c r="C7" s="245"/>
      <c r="D7" s="128"/>
      <c r="E7" s="20"/>
      <c r="F7" s="128"/>
      <c r="G7" s="128"/>
      <c r="H7" s="128"/>
      <c r="I7" s="128"/>
      <c r="J7" s="128"/>
      <c r="K7" s="128"/>
      <c r="L7" s="128"/>
      <c r="M7" s="128"/>
      <c r="N7" s="128"/>
      <c r="O7" s="128"/>
      <c r="P7" s="128"/>
      <c r="Q7" s="128"/>
      <c r="R7"/>
      <c r="S7"/>
      <c r="T7"/>
      <c r="U7"/>
      <c r="V7"/>
      <c r="W7"/>
      <c r="X7"/>
      <c r="Y7"/>
    </row>
    <row r="8" s="28" customFormat="1" customHeight="1" spans="1:25">
      <c r="A8" s="244">
        <v>1.3</v>
      </c>
      <c r="B8" s="20" t="s">
        <v>193</v>
      </c>
      <c r="C8" s="245"/>
      <c r="D8" s="128"/>
      <c r="E8" s="20"/>
      <c r="F8" s="128">
        <v>0</v>
      </c>
      <c r="G8" s="128">
        <v>0</v>
      </c>
      <c r="H8" s="128">
        <v>0</v>
      </c>
      <c r="I8" s="128">
        <v>0</v>
      </c>
      <c r="J8" s="128">
        <v>0</v>
      </c>
      <c r="K8" s="128">
        <v>0</v>
      </c>
      <c r="L8" s="128">
        <v>0</v>
      </c>
      <c r="M8" s="128">
        <v>0</v>
      </c>
      <c r="N8" s="128">
        <v>0</v>
      </c>
      <c r="O8" s="128">
        <v>0</v>
      </c>
      <c r="P8" s="128">
        <v>0</v>
      </c>
      <c r="Q8" s="128">
        <v>0</v>
      </c>
      <c r="R8"/>
      <c r="S8"/>
      <c r="T8"/>
      <c r="U8"/>
      <c r="V8"/>
      <c r="W8"/>
      <c r="X8"/>
      <c r="Y8"/>
    </row>
    <row r="9" s="28" customFormat="1" customHeight="1" spans="1:25">
      <c r="A9" s="244">
        <v>1.4</v>
      </c>
      <c r="B9" s="20" t="s">
        <v>194</v>
      </c>
      <c r="C9" s="245"/>
      <c r="D9" s="128"/>
      <c r="E9" s="20"/>
      <c r="F9" s="128">
        <f>F6</f>
        <v>143.69985</v>
      </c>
      <c r="G9" s="128">
        <f t="shared" ref="G9:Q9" si="3">G6</f>
        <v>138.67035525</v>
      </c>
      <c r="H9" s="128">
        <f t="shared" si="3"/>
        <v>133.81689281625</v>
      </c>
      <c r="I9" s="128">
        <f t="shared" si="3"/>
        <v>129.133301567681</v>
      </c>
      <c r="J9" s="128">
        <f t="shared" si="3"/>
        <v>124.613636012812</v>
      </c>
      <c r="K9" s="128">
        <f t="shared" si="3"/>
        <v>120.252158752364</v>
      </c>
      <c r="L9" s="128">
        <f t="shared" si="3"/>
        <v>143.69985</v>
      </c>
      <c r="M9" s="128">
        <f t="shared" si="3"/>
        <v>138.67035525</v>
      </c>
      <c r="N9" s="128">
        <f t="shared" si="3"/>
        <v>133.81689281625</v>
      </c>
      <c r="O9" s="128">
        <f t="shared" si="3"/>
        <v>129.133301567681</v>
      </c>
      <c r="P9" s="128">
        <f t="shared" si="3"/>
        <v>124.613636012812</v>
      </c>
      <c r="Q9" s="128">
        <f t="shared" si="3"/>
        <v>120.252158752364</v>
      </c>
      <c r="R9"/>
      <c r="S9"/>
      <c r="T9"/>
      <c r="U9"/>
      <c r="V9"/>
      <c r="W9"/>
      <c r="X9"/>
      <c r="Y9"/>
    </row>
    <row r="10" s="236" customFormat="1" customHeight="1" spans="1:25">
      <c r="A10" s="240">
        <v>2</v>
      </c>
      <c r="B10" s="11" t="s">
        <v>195</v>
      </c>
      <c r="C10" s="241"/>
      <c r="D10" s="243"/>
      <c r="E10" s="246"/>
      <c r="F10" s="246">
        <f t="shared" ref="F10:L10" si="4">F14+F15+F16+F11</f>
        <v>141.9754518</v>
      </c>
      <c r="G10" s="246">
        <f t="shared" si="4"/>
        <v>137.006310987</v>
      </c>
      <c r="H10" s="246">
        <f t="shared" si="4"/>
        <v>132.211090102455</v>
      </c>
      <c r="I10" s="246">
        <f t="shared" si="4"/>
        <v>127.583701948869</v>
      </c>
      <c r="J10" s="246">
        <f t="shared" si="4"/>
        <v>123.118272380659</v>
      </c>
      <c r="K10" s="246">
        <f t="shared" si="4"/>
        <v>118.809132847336</v>
      </c>
      <c r="L10" s="246">
        <f t="shared" si="4"/>
        <v>141.9754518</v>
      </c>
      <c r="M10" s="246">
        <f>M14+M15+M16+M11+M17</f>
        <v>137.006310987</v>
      </c>
      <c r="N10" s="246">
        <f>N14+N15+N16+N11+N17</f>
        <v>132.211090102455</v>
      </c>
      <c r="O10" s="246">
        <f>O14+O15+O16+O11+O17</f>
        <v>127.583701948869</v>
      </c>
      <c r="P10" s="246">
        <f>P14+P15+P16+P11+P17</f>
        <v>123.118272380659</v>
      </c>
      <c r="Q10" s="246">
        <f>Q14+Q15+Q16+Q11</f>
        <v>118.809132847336</v>
      </c>
      <c r="R10"/>
      <c r="S10"/>
      <c r="T10"/>
      <c r="U10"/>
      <c r="V10"/>
      <c r="W10"/>
      <c r="X10"/>
      <c r="Y10"/>
    </row>
    <row r="11" s="236" customFormat="1" customHeight="1" spans="1:25">
      <c r="A11" s="240">
        <v>3</v>
      </c>
      <c r="B11" s="241" t="s">
        <v>196</v>
      </c>
      <c r="C11" s="241"/>
      <c r="D11" s="243">
        <f>SUM(F11:Q11)</f>
        <v>1561.40792013264</v>
      </c>
      <c r="E11" s="241"/>
      <c r="F11" s="247">
        <f>F12+F13</f>
        <v>141.9754518</v>
      </c>
      <c r="G11" s="247">
        <f t="shared" ref="G11:K11" si="5">G12+G13</f>
        <v>137.006310987</v>
      </c>
      <c r="H11" s="247">
        <f t="shared" si="5"/>
        <v>132.211090102455</v>
      </c>
      <c r="I11" s="247">
        <f t="shared" si="5"/>
        <v>127.583701948869</v>
      </c>
      <c r="J11" s="247">
        <f t="shared" si="5"/>
        <v>123.118272380659</v>
      </c>
      <c r="K11" s="247">
        <f t="shared" si="5"/>
        <v>118.809132847336</v>
      </c>
      <c r="L11" s="247">
        <f t="shared" ref="L11:Q11" si="6">L12+L13</f>
        <v>141.9754518</v>
      </c>
      <c r="M11" s="247">
        <f t="shared" si="6"/>
        <v>137.006310987</v>
      </c>
      <c r="N11" s="247">
        <f t="shared" si="6"/>
        <v>132.211090102455</v>
      </c>
      <c r="O11" s="247">
        <f t="shared" si="6"/>
        <v>127.583701948869</v>
      </c>
      <c r="P11" s="247">
        <f t="shared" si="6"/>
        <v>123.118272380659</v>
      </c>
      <c r="Q11" s="247">
        <f t="shared" si="6"/>
        <v>118.809132847336</v>
      </c>
      <c r="R11"/>
      <c r="S11"/>
      <c r="T11"/>
      <c r="U11"/>
      <c r="V11"/>
      <c r="W11"/>
      <c r="X11"/>
      <c r="Y11"/>
    </row>
    <row r="12" customHeight="1" spans="1:17">
      <c r="A12" s="248">
        <v>3.1</v>
      </c>
      <c r="B12" s="20" t="s">
        <v>197</v>
      </c>
      <c r="C12" s="8">
        <f>'储能-投资参数'!G20</f>
        <v>1.04</v>
      </c>
      <c r="D12" s="128">
        <f>SUM(F12:Q12)</f>
        <v>1561.40792013264</v>
      </c>
      <c r="E12" s="249"/>
      <c r="F12" s="249">
        <f>F6*$C$12*'储能-投资参数'!$G$19</f>
        <v>141.9754518</v>
      </c>
      <c r="G12" s="249">
        <f>G6*$C$12*'储能-投资参数'!$G$19</f>
        <v>137.006310987</v>
      </c>
      <c r="H12" s="249">
        <f>H6*$C$12*'储能-投资参数'!$G$19</f>
        <v>132.211090102455</v>
      </c>
      <c r="I12" s="249">
        <f>I6*$C$12*'储能-投资参数'!$G$19</f>
        <v>127.583701948869</v>
      </c>
      <c r="J12" s="249">
        <f>J6*$C$12*'储能-投资参数'!$G$19</f>
        <v>123.118272380659</v>
      </c>
      <c r="K12" s="249">
        <f>K6*$C$12*'储能-投资参数'!$G$19</f>
        <v>118.809132847336</v>
      </c>
      <c r="L12" s="249">
        <f>L6*$C$12*'储能-投资参数'!$G$19</f>
        <v>141.9754518</v>
      </c>
      <c r="M12" s="249">
        <f>M6*$C$12*'储能-投资参数'!$G$19</f>
        <v>137.006310987</v>
      </c>
      <c r="N12" s="249">
        <f>N6*$C$12*'储能-投资参数'!$G$19</f>
        <v>132.211090102455</v>
      </c>
      <c r="O12" s="249">
        <f>O6*$C$12*'储能-投资参数'!$G$19</f>
        <v>127.583701948869</v>
      </c>
      <c r="P12" s="249">
        <f>P6*$C$12*'储能-投资参数'!$G$19</f>
        <v>123.118272380659</v>
      </c>
      <c r="Q12" s="249">
        <f>Q6*$C$12*'储能-投资参数'!$G$19</f>
        <v>118.809132847336</v>
      </c>
    </row>
    <row r="13" customHeight="1" spans="1:17">
      <c r="A13" s="248">
        <v>3.2</v>
      </c>
      <c r="B13" s="20" t="s">
        <v>198</v>
      </c>
      <c r="C13" s="8">
        <v>0</v>
      </c>
      <c r="D13" s="128">
        <f>SUM(F13:N13)</f>
        <v>0</v>
      </c>
      <c r="E13" s="249"/>
      <c r="F13" s="249">
        <f>F8*$C$13</f>
        <v>0</v>
      </c>
      <c r="G13" s="249">
        <f t="shared" ref="G13:L13" si="7">G8*$C$13</f>
        <v>0</v>
      </c>
      <c r="H13" s="249">
        <f t="shared" si="7"/>
        <v>0</v>
      </c>
      <c r="I13" s="249">
        <f t="shared" si="7"/>
        <v>0</v>
      </c>
      <c r="J13" s="249">
        <f t="shared" si="7"/>
        <v>0</v>
      </c>
      <c r="K13" s="249">
        <f t="shared" si="7"/>
        <v>0</v>
      </c>
      <c r="L13" s="249">
        <f t="shared" si="7"/>
        <v>0</v>
      </c>
      <c r="M13" s="249">
        <f t="shared" ref="M13" si="8">M8*$C$13</f>
        <v>0</v>
      </c>
      <c r="N13" s="249">
        <v>0</v>
      </c>
      <c r="O13" s="249">
        <v>0</v>
      </c>
      <c r="P13" s="249">
        <v>0</v>
      </c>
      <c r="Q13" s="249">
        <v>0</v>
      </c>
    </row>
    <row r="14" customHeight="1" spans="1:17">
      <c r="A14" s="240">
        <v>3</v>
      </c>
      <c r="B14" s="241" t="s">
        <v>199</v>
      </c>
      <c r="C14" s="241"/>
      <c r="D14" s="243"/>
      <c r="E14" s="246"/>
      <c r="F14" s="246">
        <f>'储能-投资参数'!C50</f>
        <v>0</v>
      </c>
      <c r="G14" s="246">
        <f t="shared" ref="G14:M14" si="9">F14</f>
        <v>0</v>
      </c>
      <c r="H14" s="246">
        <f t="shared" si="9"/>
        <v>0</v>
      </c>
      <c r="I14" s="246">
        <f t="shared" si="9"/>
        <v>0</v>
      </c>
      <c r="J14" s="246">
        <f t="shared" si="9"/>
        <v>0</v>
      </c>
      <c r="K14" s="246">
        <f t="shared" si="9"/>
        <v>0</v>
      </c>
      <c r="L14" s="246">
        <f t="shared" si="9"/>
        <v>0</v>
      </c>
      <c r="M14" s="246">
        <f t="shared" si="9"/>
        <v>0</v>
      </c>
      <c r="N14" s="246">
        <v>0</v>
      </c>
      <c r="O14" s="246">
        <v>0</v>
      </c>
      <c r="P14" s="246">
        <v>0</v>
      </c>
      <c r="Q14" s="246">
        <v>0</v>
      </c>
    </row>
    <row r="15" customHeight="1" spans="1:17">
      <c r="A15" s="240">
        <v>4</v>
      </c>
      <c r="B15" s="241" t="s">
        <v>200</v>
      </c>
      <c r="C15" s="241"/>
      <c r="D15" s="243"/>
      <c r="E15" s="246"/>
      <c r="F15" s="246">
        <f>'储能-投资参数'!C53</f>
        <v>0</v>
      </c>
      <c r="G15" s="246">
        <f t="shared" ref="G15:M15" si="10">F15</f>
        <v>0</v>
      </c>
      <c r="H15" s="246">
        <f t="shared" si="10"/>
        <v>0</v>
      </c>
      <c r="I15" s="246">
        <f t="shared" si="10"/>
        <v>0</v>
      </c>
      <c r="J15" s="246">
        <f t="shared" si="10"/>
        <v>0</v>
      </c>
      <c r="K15" s="246">
        <f t="shared" si="10"/>
        <v>0</v>
      </c>
      <c r="L15" s="246">
        <f t="shared" si="10"/>
        <v>0</v>
      </c>
      <c r="M15" s="246">
        <f t="shared" si="10"/>
        <v>0</v>
      </c>
      <c r="N15" s="246">
        <v>0</v>
      </c>
      <c r="O15" s="246">
        <v>0</v>
      </c>
      <c r="P15" s="246">
        <v>0</v>
      </c>
      <c r="Q15" s="246">
        <v>0</v>
      </c>
    </row>
    <row r="16" customHeight="1" spans="1:17">
      <c r="A16" s="240">
        <v>5</v>
      </c>
      <c r="B16" s="241" t="s">
        <v>201</v>
      </c>
      <c r="C16" s="241"/>
      <c r="D16" s="243"/>
      <c r="E16" s="246">
        <f>'储能-投资参数'!C55</f>
        <v>0</v>
      </c>
      <c r="F16" s="246"/>
      <c r="G16" s="246"/>
      <c r="H16" s="246"/>
      <c r="I16" s="246"/>
      <c r="J16" s="246"/>
      <c r="K16" s="246"/>
      <c r="L16" s="246"/>
      <c r="M16" s="246"/>
      <c r="N16" s="246"/>
      <c r="O16" s="246"/>
      <c r="P16" s="246"/>
      <c r="Q16" s="246"/>
    </row>
    <row r="17" s="236" customFormat="1" customHeight="1" spans="1:25">
      <c r="A17" s="240">
        <v>6</v>
      </c>
      <c r="B17" s="241" t="s">
        <v>202</v>
      </c>
      <c r="C17" s="241"/>
      <c r="D17" s="243">
        <f>SUM(F17:Q17)</f>
        <v>92.4175824175824</v>
      </c>
      <c r="E17" s="241"/>
      <c r="F17" s="247"/>
      <c r="G17" s="241"/>
      <c r="H17" s="241"/>
      <c r="I17" s="241"/>
      <c r="J17" s="241"/>
      <c r="K17" s="241">
        <f>'储能-设备工程参数'!C38+'储能-设备工程参数'!E38</f>
        <v>46.2087912087912</v>
      </c>
      <c r="M17" s="241"/>
      <c r="N17" s="247"/>
      <c r="O17" s="241"/>
      <c r="P17" s="241"/>
      <c r="Q17" s="241">
        <f>'储能-设备工程参数'!C38+'储能-设备工程参数'!E38</f>
        <v>46.2087912087912</v>
      </c>
      <c r="R17"/>
      <c r="S17"/>
      <c r="T17"/>
      <c r="U17"/>
      <c r="V17"/>
      <c r="W17"/>
      <c r="X17"/>
      <c r="Y17"/>
    </row>
    <row r="18" s="236" customFormat="1" customHeight="1" spans="1:25">
      <c r="A18" s="240">
        <v>7</v>
      </c>
      <c r="B18" s="11" t="s">
        <v>203</v>
      </c>
      <c r="C18" s="241"/>
      <c r="D18" s="243">
        <f>SUM(F18:Q18)</f>
        <v>1041.19052970699</v>
      </c>
      <c r="E18" s="250">
        <f>IF('储能-投资参数'!C21=0,'储能-投资参数'!C7-E16,'储能-投资参数'!C7*(1-'储能-投资参数'!E28)-E16)</f>
        <v>474.071428571429</v>
      </c>
      <c r="F18" s="247">
        <f>SUM(F19:F32)</f>
        <v>48.2070591428571</v>
      </c>
      <c r="G18" s="247">
        <f t="shared" ref="G18:N18" si="11">SUM(G19:G32)</f>
        <v>46.5976208228571</v>
      </c>
      <c r="H18" s="247">
        <f t="shared" si="11"/>
        <v>45.0445128440571</v>
      </c>
      <c r="I18" s="247">
        <f t="shared" si="11"/>
        <v>49.557984565038</v>
      </c>
      <c r="J18" s="247">
        <f t="shared" si="11"/>
        <v>59.9213549891043</v>
      </c>
      <c r="K18" s="247">
        <f t="shared" si="11"/>
        <v>404.903014867629</v>
      </c>
      <c r="L18" s="247">
        <f t="shared" si="11"/>
        <v>62.6641145721001</v>
      </c>
      <c r="M18" s="247">
        <f t="shared" si="11"/>
        <v>60.2147506288501</v>
      </c>
      <c r="N18" s="247">
        <f t="shared" si="11"/>
        <v>61.7571144236139</v>
      </c>
      <c r="O18" s="247">
        <f t="shared" ref="O18:Q18" si="12">SUM(O19:O32)</f>
        <v>69.9328145227336</v>
      </c>
      <c r="P18" s="247">
        <f t="shared" si="12"/>
        <v>67.4349100566787</v>
      </c>
      <c r="Q18" s="247">
        <f t="shared" si="12"/>
        <v>64.9552782714685</v>
      </c>
      <c r="R18"/>
      <c r="S18"/>
      <c r="T18"/>
      <c r="U18"/>
      <c r="V18"/>
      <c r="W18"/>
      <c r="X18"/>
      <c r="Y18"/>
    </row>
    <row r="19" s="28" customFormat="1" customHeight="1" spans="1:25">
      <c r="A19" s="251">
        <v>7</v>
      </c>
      <c r="B19" s="20" t="s">
        <v>204</v>
      </c>
      <c r="C19" s="20">
        <f>'储能-投资参数'!C37</f>
        <v>0.32</v>
      </c>
      <c r="D19" s="128"/>
      <c r="E19" s="252"/>
      <c r="F19" s="87">
        <f>$C$19*F9</f>
        <v>45.983952</v>
      </c>
      <c r="G19" s="87">
        <f t="shared" ref="F19:Q19" si="13">$C$19*G9</f>
        <v>44.37451368</v>
      </c>
      <c r="H19" s="87">
        <f t="shared" si="13"/>
        <v>42.8214057012</v>
      </c>
      <c r="I19" s="87">
        <f t="shared" si="13"/>
        <v>41.322656501658</v>
      </c>
      <c r="J19" s="87">
        <f t="shared" si="13"/>
        <v>39.8763635241</v>
      </c>
      <c r="K19" s="87">
        <f t="shared" si="13"/>
        <v>38.4806908007565</v>
      </c>
      <c r="L19" s="87">
        <f t="shared" si="13"/>
        <v>45.983952</v>
      </c>
      <c r="M19" s="87">
        <f t="shared" si="13"/>
        <v>44.37451368</v>
      </c>
      <c r="N19" s="87">
        <f t="shared" si="13"/>
        <v>42.8214057012</v>
      </c>
      <c r="O19" s="87">
        <f t="shared" si="13"/>
        <v>41.322656501658</v>
      </c>
      <c r="P19" s="87">
        <f t="shared" si="13"/>
        <v>39.8763635241</v>
      </c>
      <c r="Q19" s="87">
        <f t="shared" si="13"/>
        <v>38.4806908007565</v>
      </c>
      <c r="R19"/>
      <c r="S19"/>
      <c r="T19"/>
      <c r="U19"/>
      <c r="V19"/>
      <c r="W19"/>
      <c r="X19"/>
      <c r="Y19"/>
    </row>
    <row r="20" s="28" customFormat="1" customHeight="1" spans="1:25">
      <c r="A20" s="251">
        <v>7</v>
      </c>
      <c r="B20" s="20" t="s">
        <v>205</v>
      </c>
      <c r="C20" s="20">
        <f>'储能-投资参数'!C36</f>
        <v>0.6117</v>
      </c>
      <c r="D20" s="128"/>
      <c r="E20" s="252"/>
      <c r="F20" s="87">
        <f t="shared" ref="F20:L20" si="14">$C$20*F8</f>
        <v>0</v>
      </c>
      <c r="G20" s="87">
        <f t="shared" si="14"/>
        <v>0</v>
      </c>
      <c r="H20" s="87">
        <f t="shared" si="14"/>
        <v>0</v>
      </c>
      <c r="I20" s="87">
        <f t="shared" si="14"/>
        <v>0</v>
      </c>
      <c r="J20" s="87">
        <f t="shared" si="14"/>
        <v>0</v>
      </c>
      <c r="K20" s="87">
        <f t="shared" si="14"/>
        <v>0</v>
      </c>
      <c r="L20" s="87">
        <f t="shared" si="14"/>
        <v>0</v>
      </c>
      <c r="M20" s="87">
        <f t="shared" ref="M20" si="15">$C$20*M8</f>
        <v>0</v>
      </c>
      <c r="N20" s="87">
        <v>0</v>
      </c>
      <c r="O20" s="87">
        <v>0</v>
      </c>
      <c r="P20" s="87">
        <v>0</v>
      </c>
      <c r="Q20" s="87">
        <v>0</v>
      </c>
      <c r="R20"/>
      <c r="S20"/>
      <c r="T20"/>
      <c r="U20"/>
      <c r="V20"/>
      <c r="W20"/>
      <c r="X20"/>
      <c r="Y20"/>
    </row>
    <row r="21" customHeight="1" spans="1:17">
      <c r="A21" s="248">
        <v>7.1</v>
      </c>
      <c r="B21" s="224" t="s">
        <v>206</v>
      </c>
      <c r="C21" s="8"/>
      <c r="D21" s="128">
        <f t="shared" ref="D21:D33" si="16">SUM(F21:Q21)</f>
        <v>0</v>
      </c>
      <c r="E21" s="8"/>
      <c r="F21" s="24">
        <f>IF('储能-计算界面-年'!F4&lt;='储能-设备工程参数'!$C$42,'储能-投资参数'!$C$70,0)</f>
        <v>0</v>
      </c>
      <c r="G21" s="24">
        <f>IF('储能-计算界面-年'!G4&lt;='储能-设备工程参数'!$C$42,'储能-投资参数'!$C$70,0)</f>
        <v>0</v>
      </c>
      <c r="H21" s="24">
        <f>IF('储能-计算界面-年'!H4&lt;='储能-设备工程参数'!$C$42,'储能-投资参数'!$C$70,0)</f>
        <v>0</v>
      </c>
      <c r="I21" s="24">
        <f>IF('储能-计算界面-年'!I4&lt;='储能-设备工程参数'!$C$42,'储能-投资参数'!$C$70,0)</f>
        <v>0</v>
      </c>
      <c r="J21" s="24">
        <f>IF('储能-计算界面-年'!J4&lt;='储能-设备工程参数'!$C$42,'储能-投资参数'!$C$70,0)</f>
        <v>0</v>
      </c>
      <c r="K21" s="24">
        <f>IF('储能-计算界面-年'!K4&lt;='储能-设备工程参数'!$C$42,'储能-投资参数'!$C$70,0)</f>
        <v>0</v>
      </c>
      <c r="L21" s="24">
        <f>IF('储能-计算界面-年'!L4&lt;='储能-设备工程参数'!$C$42,'储能-投资参数'!$C$70,0)</f>
        <v>0</v>
      </c>
      <c r="M21" s="24">
        <f>IF('储能-计算界面-年'!M4&lt;='储能-设备工程参数'!$C$42,'储能-投资参数'!$C$70,0)</f>
        <v>0</v>
      </c>
      <c r="N21" s="24">
        <v>0</v>
      </c>
      <c r="O21" s="24">
        <v>0</v>
      </c>
      <c r="P21" s="24">
        <v>0</v>
      </c>
      <c r="Q21" s="24">
        <v>0</v>
      </c>
    </row>
    <row r="22" customHeight="1" spans="1:17">
      <c r="A22" s="248">
        <v>7.2</v>
      </c>
      <c r="B22" s="8" t="s">
        <v>207</v>
      </c>
      <c r="C22" s="8"/>
      <c r="D22" s="24">
        <f t="shared" si="16"/>
        <v>0</v>
      </c>
      <c r="E22" s="8"/>
      <c r="F22" s="24">
        <f>IF('储能-投资参数'!$C$21=1,租赁!C8,IF('储能-投资参数'!$C$21=2,IF('储能-投资参数'!$C$31=0,银行贷款!F7,银行贷款!F10),0))</f>
        <v>0</v>
      </c>
      <c r="G22" s="24">
        <f>IF('储能-投资参数'!$C$21=1,租赁!D8,IF('储能-投资参数'!$C$21=2,IF('储能-投资参数'!$C$31=0,银行贷款!G7,银行贷款!G10),0))</f>
        <v>0</v>
      </c>
      <c r="H22" s="24">
        <f>IF('储能-投资参数'!$C$21=1,租赁!E8,IF('储能-投资参数'!$C$21=2,IF('储能-投资参数'!$C$31=0,银行贷款!H7,银行贷款!H10),0))</f>
        <v>0</v>
      </c>
      <c r="I22" s="24">
        <f>IF('储能-投资参数'!$C$21=1,租赁!F8,IF('储能-投资参数'!$C$21=2,IF('储能-投资参数'!$C$31=0,银行贷款!I7,银行贷款!I10),0))</f>
        <v>0</v>
      </c>
      <c r="J22" s="24">
        <f>IF('储能-投资参数'!$C$21=1,租赁!G8,IF('储能-投资参数'!$C$21=2,IF('储能-投资参数'!$C$31=0,银行贷款!J7,银行贷款!J10),0))</f>
        <v>0</v>
      </c>
      <c r="K22" s="24">
        <f>IF('储能-投资参数'!$C$21=1,租赁!H8,IF('储能-投资参数'!$C$21=2,IF('储能-投资参数'!$C$31=0,银行贷款!K7,银行贷款!K10),0))</f>
        <v>0</v>
      </c>
      <c r="L22" s="24">
        <f>IF('储能-投资参数'!$C$21=1,租赁!I8,IF('储能-投资参数'!$C$21=2,IF('储能-投资参数'!$C$31=0,银行贷款!L7,银行贷款!L10),0))</f>
        <v>0</v>
      </c>
      <c r="M22" s="24">
        <f>IF('储能-投资参数'!$C$21=1,租赁!J8,IF('储能-投资参数'!$C$21=2,IF('储能-投资参数'!$C$31=0,银行贷款!M7,银行贷款!M10),0))</f>
        <v>0</v>
      </c>
      <c r="N22" s="24">
        <v>0</v>
      </c>
      <c r="O22" s="24">
        <v>0</v>
      </c>
      <c r="P22" s="24">
        <v>0</v>
      </c>
      <c r="Q22" s="24">
        <v>0</v>
      </c>
    </row>
    <row r="23" customHeight="1" spans="1:17">
      <c r="A23" s="248">
        <v>7.3</v>
      </c>
      <c r="B23" s="8" t="s">
        <v>208</v>
      </c>
      <c r="C23" s="8"/>
      <c r="D23" s="24">
        <f t="shared" si="16"/>
        <v>0</v>
      </c>
      <c r="E23" s="247">
        <v>0</v>
      </c>
      <c r="F23" s="24">
        <f>IF('储能-投资参数'!$C$21=1,租赁!C9,IF('储能-投资参数'!$C$21=2,IF('储能-投资参数'!$C$31=0,银行贷款!F8,银行贷款!F11),0))</f>
        <v>0</v>
      </c>
      <c r="G23" s="24">
        <f>IF('储能-投资参数'!$C$21=1,租赁!D9,IF('储能-投资参数'!$C$21=2,IF('储能-投资参数'!$C$31=0,银行贷款!G8,银行贷款!G11),0))</f>
        <v>0</v>
      </c>
      <c r="H23" s="24">
        <f>IF('储能-投资参数'!$C$21=1,租赁!E9,IF('储能-投资参数'!$C$21=2,IF('储能-投资参数'!$C$31=0,银行贷款!H8,银行贷款!H11),0))</f>
        <v>0</v>
      </c>
      <c r="I23" s="24">
        <f>IF('储能-投资参数'!$C$21=1,租赁!F9,IF('储能-投资参数'!$C$21=2,IF('储能-投资参数'!$C$31=0,银行贷款!I8,银行贷款!I11),0))</f>
        <v>0</v>
      </c>
      <c r="J23" s="24">
        <f>IF('储能-投资参数'!$C$21=1,租赁!G9,IF('储能-投资参数'!$C$21=2,IF('储能-投资参数'!$C$31=0,银行贷款!J8,银行贷款!J11),0))</f>
        <v>0</v>
      </c>
      <c r="K23" s="24">
        <f>IF('储能-投资参数'!$C$21=1,租赁!H9,IF('储能-投资参数'!$C$21=2,IF('储能-投资参数'!$C$31=0,银行贷款!K8,银行贷款!K11),0))</f>
        <v>0</v>
      </c>
      <c r="L23" s="24">
        <f>IF('储能-投资参数'!$C$21=1,租赁!I9,IF('储能-投资参数'!$C$21=2,IF('储能-投资参数'!$C$31=0,银行贷款!L8,银行贷款!L11),0))</f>
        <v>0</v>
      </c>
      <c r="M23" s="24">
        <f>IF('储能-投资参数'!$C$21=1,租赁!J9,IF('储能-投资参数'!$C$21=2,IF('储能-投资参数'!$C$31=0,银行贷款!M8,银行贷款!M11),0))</f>
        <v>0</v>
      </c>
      <c r="N23" s="24">
        <v>0</v>
      </c>
      <c r="O23" s="24">
        <v>0</v>
      </c>
      <c r="P23" s="24">
        <v>0</v>
      </c>
      <c r="Q23" s="24">
        <v>0</v>
      </c>
    </row>
    <row r="24" customHeight="1" spans="1:17">
      <c r="A24" s="248">
        <v>7.4</v>
      </c>
      <c r="B24" s="8" t="s">
        <v>209</v>
      </c>
      <c r="C24" s="8"/>
      <c r="D24" s="24">
        <f t="shared" si="16"/>
        <v>0</v>
      </c>
      <c r="E24" s="8"/>
      <c r="F24" s="24">
        <f>IF('储能-投资参数'!$C$21=1,租赁!C10,0)</f>
        <v>0</v>
      </c>
      <c r="G24" s="24">
        <f>IF('储能-投资参数'!$C$21=1,租赁!D10,0)</f>
        <v>0</v>
      </c>
      <c r="H24" s="24">
        <f>IF('储能-投资参数'!$C$21=1,租赁!E10,0)</f>
        <v>0</v>
      </c>
      <c r="I24" s="24">
        <f>IF('储能-投资参数'!$C$21=1,租赁!F10,0)</f>
        <v>0</v>
      </c>
      <c r="J24" s="24">
        <f>IF('储能-投资参数'!$C$21=1,租赁!G10,0)</f>
        <v>0</v>
      </c>
      <c r="K24" s="24">
        <f>IF('储能-投资参数'!$C$21=1,租赁!H10,0)</f>
        <v>0</v>
      </c>
      <c r="L24" s="24">
        <f>IF('储能-投资参数'!$C$21=1,租赁!I10,0)</f>
        <v>0</v>
      </c>
      <c r="M24" s="24">
        <f>IF('储能-投资参数'!$C$21=1,租赁!J10,0)</f>
        <v>0</v>
      </c>
      <c r="N24" s="24">
        <v>0</v>
      </c>
      <c r="O24" s="24">
        <v>0</v>
      </c>
      <c r="P24" s="24">
        <v>0</v>
      </c>
      <c r="Q24" s="24">
        <v>0</v>
      </c>
    </row>
    <row r="25" customHeight="1" spans="1:17">
      <c r="A25" s="248">
        <v>7.5</v>
      </c>
      <c r="B25" s="8" t="s">
        <v>210</v>
      </c>
      <c r="C25" s="8"/>
      <c r="D25" s="24">
        <f t="shared" si="16"/>
        <v>48.6507471677018</v>
      </c>
      <c r="E25" s="8"/>
      <c r="F25" s="24">
        <f>F56</f>
        <v>0</v>
      </c>
      <c r="G25" s="24">
        <f t="shared" ref="G25:Q25" si="17">G56</f>
        <v>0</v>
      </c>
      <c r="H25" s="24">
        <f t="shared" si="17"/>
        <v>0</v>
      </c>
      <c r="I25" s="24">
        <f t="shared" si="17"/>
        <v>0</v>
      </c>
      <c r="J25" s="24">
        <f t="shared" si="17"/>
        <v>12.4357708933223</v>
      </c>
      <c r="K25" s="24">
        <f t="shared" si="17"/>
        <v>0</v>
      </c>
      <c r="L25" s="24">
        <f t="shared" si="17"/>
        <v>0</v>
      </c>
      <c r="M25" s="24">
        <f t="shared" si="17"/>
        <v>0</v>
      </c>
      <c r="N25" s="24">
        <f t="shared" si="17"/>
        <v>0</v>
      </c>
      <c r="O25" s="24">
        <f t="shared" si="17"/>
        <v>12.4483440918723</v>
      </c>
      <c r="P25" s="24">
        <f t="shared" si="17"/>
        <v>12.0949782099273</v>
      </c>
      <c r="Q25" s="24">
        <f t="shared" si="17"/>
        <v>11.6716539725799</v>
      </c>
    </row>
    <row r="26" customHeight="1" spans="1:17">
      <c r="A26" s="253" t="s">
        <v>211</v>
      </c>
      <c r="B26" s="8" t="s">
        <v>177</v>
      </c>
      <c r="C26" s="8"/>
      <c r="D26" s="24">
        <f t="shared" si="16"/>
        <v>5.83808966012421</v>
      </c>
      <c r="E26" s="8"/>
      <c r="F26" s="24">
        <f>F25*'储能-投资参数'!$C$80</f>
        <v>0</v>
      </c>
      <c r="G26" s="24">
        <f>G25*'储能-投资参数'!$C$80</f>
        <v>0</v>
      </c>
      <c r="H26" s="24">
        <f>H25*'储能-投资参数'!$C$80</f>
        <v>0</v>
      </c>
      <c r="I26" s="24">
        <f>I25*'储能-投资参数'!$C$80</f>
        <v>0</v>
      </c>
      <c r="J26" s="24">
        <f>J25*'储能-投资参数'!$C$80</f>
        <v>1.49229250719868</v>
      </c>
      <c r="K26" s="24">
        <f>K25*'储能-投资参数'!$C$80</f>
        <v>0</v>
      </c>
      <c r="L26" s="24">
        <f>L25*'储能-投资参数'!$C$80</f>
        <v>0</v>
      </c>
      <c r="M26" s="24">
        <f>M25*'储能-投资参数'!$C$80</f>
        <v>0</v>
      </c>
      <c r="N26" s="24">
        <f>N25*'储能-投资参数'!$C$80</f>
        <v>0</v>
      </c>
      <c r="O26" s="24">
        <f>O25*'储能-投资参数'!$C$80</f>
        <v>1.49380129102467</v>
      </c>
      <c r="P26" s="24">
        <f>P25*'储能-投资参数'!$C$80</f>
        <v>1.45139738519128</v>
      </c>
      <c r="Q26" s="24">
        <f>Q25*'储能-投资参数'!$C$80</f>
        <v>1.40059847670958</v>
      </c>
    </row>
    <row r="27" customHeight="1" spans="1:17">
      <c r="A27" s="253" t="s">
        <v>212</v>
      </c>
      <c r="B27" s="8" t="s">
        <v>213</v>
      </c>
      <c r="C27" s="8"/>
      <c r="D27" s="24">
        <f t="shared" si="16"/>
        <v>74.5446713208755</v>
      </c>
      <c r="E27" s="8"/>
      <c r="F27" s="254">
        <v>0</v>
      </c>
      <c r="G27" s="254">
        <v>0</v>
      </c>
      <c r="H27" s="254">
        <v>0</v>
      </c>
      <c r="I27" s="254">
        <f>I35*0.25*0.5</f>
        <v>6.01222092052287</v>
      </c>
      <c r="J27" s="254">
        <f t="shared" ref="J27:K27" si="18">J35*0.25*0.5</f>
        <v>3.8938209216262</v>
      </c>
      <c r="K27" s="254">
        <f t="shared" si="18"/>
        <v>5.27064549544388</v>
      </c>
      <c r="L27" s="24">
        <f t="shared" ref="L27:Q27" si="19">L35*0.25</f>
        <v>14.457055429243</v>
      </c>
      <c r="M27" s="24">
        <f t="shared" si="19"/>
        <v>13.617129805993</v>
      </c>
      <c r="N27" s="24">
        <f t="shared" si="19"/>
        <v>11.5046015795567</v>
      </c>
      <c r="O27" s="24">
        <f t="shared" si="19"/>
        <v>7.23690549532151</v>
      </c>
      <c r="P27" s="24">
        <f t="shared" si="19"/>
        <v>6.58106379460299</v>
      </c>
      <c r="Q27" s="24">
        <f t="shared" si="19"/>
        <v>5.97122787856539</v>
      </c>
    </row>
    <row r="28" customHeight="1" spans="1:17">
      <c r="A28" s="253" t="s">
        <v>214</v>
      </c>
      <c r="B28" s="8" t="s">
        <v>215</v>
      </c>
      <c r="C28" s="8"/>
      <c r="D28" s="24">
        <f t="shared" si="16"/>
        <v>2.84442857142857</v>
      </c>
      <c r="E28" s="8"/>
      <c r="F28" s="24">
        <f>IF(F4&lt;='储能-设备工程参数'!$C$42,IF('储能-投资参数'!$C$57=1,'储能-投资参数'!$G$17,'储能-投资参数'!$C$61*'储能-投资参数'!$C$8*'储能-投资参数'!$G$17/10),0)</f>
        <v>0.237035714285714</v>
      </c>
      <c r="G28" s="24">
        <f>IF(G4&lt;='储能-设备工程参数'!$C$42,IF('储能-投资参数'!$C$57=1,'储能-投资参数'!$G$17,'储能-投资参数'!$C$61*'储能-投资参数'!$C$8*'储能-投资参数'!$G$17/10),0)</f>
        <v>0.237035714285714</v>
      </c>
      <c r="H28" s="24">
        <f>IF(H4&lt;='储能-设备工程参数'!$C$42,IF('储能-投资参数'!$C$57=1,'储能-投资参数'!$G$17,'储能-投资参数'!$C$61*'储能-投资参数'!$C$8*'储能-投资参数'!$G$17/10),0)</f>
        <v>0.237035714285714</v>
      </c>
      <c r="I28" s="24">
        <f>IF(I4&lt;='储能-设备工程参数'!$C$42,IF('储能-投资参数'!$C$57=1,'储能-投资参数'!$G$17,'储能-投资参数'!$C$61*'储能-投资参数'!$C$8*'储能-投资参数'!$G$17/10),0)</f>
        <v>0.237035714285714</v>
      </c>
      <c r="J28" s="24">
        <f>F28</f>
        <v>0.237035714285714</v>
      </c>
      <c r="K28" s="24">
        <f t="shared" ref="K28:M28" si="20">G28</f>
        <v>0.237035714285714</v>
      </c>
      <c r="L28" s="24">
        <f t="shared" si="20"/>
        <v>0.237035714285714</v>
      </c>
      <c r="M28" s="24">
        <f t="shared" si="20"/>
        <v>0.237035714285714</v>
      </c>
      <c r="N28" s="24">
        <f>F28</f>
        <v>0.237035714285714</v>
      </c>
      <c r="O28" s="24">
        <f t="shared" ref="O28:Q28" si="21">G28</f>
        <v>0.237035714285714</v>
      </c>
      <c r="P28" s="24">
        <f t="shared" si="21"/>
        <v>0.237035714285714</v>
      </c>
      <c r="Q28" s="24">
        <f t="shared" si="21"/>
        <v>0.237035714285714</v>
      </c>
    </row>
    <row r="29" customHeight="1" spans="1:17">
      <c r="A29" s="253" t="s">
        <v>216</v>
      </c>
      <c r="B29" s="8" t="s">
        <v>217</v>
      </c>
      <c r="C29" s="8"/>
      <c r="D29" s="24">
        <f t="shared" si="16"/>
        <v>358.928571428571</v>
      </c>
      <c r="E29" s="8"/>
      <c r="F29" s="24"/>
      <c r="G29" s="24"/>
      <c r="H29" s="24"/>
      <c r="I29" s="24"/>
      <c r="J29" s="24"/>
      <c r="K29">
        <f>'储能-设备工程参数'!E14+'储能-设备工程参数'!E21</f>
        <v>358.928571428571</v>
      </c>
      <c r="N29" s="24"/>
      <c r="O29" s="24"/>
      <c r="P29" s="24"/>
      <c r="Q29" s="24">
        <f>M29</f>
        <v>0</v>
      </c>
    </row>
    <row r="30" s="119" customFormat="1" customHeight="1" spans="1:25">
      <c r="A30" s="253" t="s">
        <v>218</v>
      </c>
      <c r="B30" s="19" t="s">
        <v>219</v>
      </c>
      <c r="C30" s="19"/>
      <c r="D30" s="24">
        <f t="shared" si="16"/>
        <v>5.68885714285714</v>
      </c>
      <c r="E30" s="19"/>
      <c r="F30" s="19">
        <f>IF('储能-计算界面-年'!F4&lt;='储能-设备工程参数'!$C$42,'储能-投资参数'!$C$68,0)</f>
        <v>0.474071428571429</v>
      </c>
      <c r="G30" s="19">
        <f>IF('储能-计算界面-年'!G4&lt;='储能-设备工程参数'!$C$42,'储能-投资参数'!$C$68,0)</f>
        <v>0.474071428571429</v>
      </c>
      <c r="H30" s="19">
        <f>IF('储能-计算界面-年'!H4&lt;='储能-设备工程参数'!$C$42,'储能-投资参数'!$C$68,0)</f>
        <v>0.474071428571429</v>
      </c>
      <c r="I30" s="19">
        <f>IF('储能-计算界面-年'!I4&lt;='储能-设备工程参数'!$C$42,'储能-投资参数'!$C$68,0)</f>
        <v>0.474071428571429</v>
      </c>
      <c r="J30" s="19">
        <f>F30</f>
        <v>0.474071428571429</v>
      </c>
      <c r="K30" s="19">
        <f t="shared" ref="K30:M31" si="22">G30</f>
        <v>0.474071428571429</v>
      </c>
      <c r="L30" s="19">
        <f t="shared" si="22"/>
        <v>0.474071428571429</v>
      </c>
      <c r="M30" s="19">
        <f t="shared" si="22"/>
        <v>0.474071428571429</v>
      </c>
      <c r="N30" s="19">
        <f>F30</f>
        <v>0.474071428571429</v>
      </c>
      <c r="O30" s="19">
        <f t="shared" ref="O30:Q30" si="23">G30</f>
        <v>0.474071428571429</v>
      </c>
      <c r="P30" s="19">
        <f t="shared" si="23"/>
        <v>0.474071428571429</v>
      </c>
      <c r="Q30" s="19">
        <f t="shared" si="23"/>
        <v>0.474071428571429</v>
      </c>
      <c r="R30"/>
      <c r="S30"/>
      <c r="T30"/>
      <c r="U30"/>
      <c r="V30"/>
      <c r="W30"/>
      <c r="X30"/>
      <c r="Y30"/>
    </row>
    <row r="31" customHeight="1" spans="1:17">
      <c r="A31" s="253" t="s">
        <v>220</v>
      </c>
      <c r="B31" s="8" t="s">
        <v>221</v>
      </c>
      <c r="C31" s="8"/>
      <c r="D31" s="24">
        <f t="shared" si="16"/>
        <v>38.976</v>
      </c>
      <c r="E31" s="8"/>
      <c r="F31" s="24">
        <f>IF(F4&lt;='储能-设备工程参数'!$C$42,'储能-投资参数'!$C$71,0)</f>
        <v>1.512</v>
      </c>
      <c r="G31" s="24">
        <f>IF(G4&lt;='储能-设备工程参数'!$C$42,'储能-投资参数'!$C$71,0)</f>
        <v>1.512</v>
      </c>
      <c r="H31" s="24">
        <f>IF(H4&lt;='储能-设备工程参数'!$C$42,'储能-投资参数'!$C$71,0)</f>
        <v>1.512</v>
      </c>
      <c r="I31" s="24">
        <f>IF(I4&lt;='储能-设备工程参数'!$C$42,'储能-投资参数'!$C$71,0)</f>
        <v>1.512</v>
      </c>
      <c r="J31" s="24">
        <f>F31</f>
        <v>1.512</v>
      </c>
      <c r="K31" s="24">
        <f t="shared" si="22"/>
        <v>1.512</v>
      </c>
      <c r="L31" s="24">
        <f t="shared" si="22"/>
        <v>1.512</v>
      </c>
      <c r="M31" s="24">
        <f t="shared" si="22"/>
        <v>1.512</v>
      </c>
      <c r="N31" s="24">
        <v>6.72</v>
      </c>
      <c r="O31" s="24">
        <v>6.72</v>
      </c>
      <c r="P31" s="24">
        <v>6.72</v>
      </c>
      <c r="Q31" s="24">
        <v>6.72</v>
      </c>
    </row>
    <row r="32" customHeight="1" spans="1:17">
      <c r="A32" s="253" t="s">
        <v>222</v>
      </c>
      <c r="B32" s="8" t="s">
        <v>179</v>
      </c>
      <c r="C32" s="8"/>
      <c r="D32" s="24">
        <f t="shared" si="16"/>
        <v>0</v>
      </c>
      <c r="E32" s="8">
        <f>'储能-投资参数'!G17*'储能-投资参数'!C8*'储能-投资参数'!C81/10</f>
        <v>0</v>
      </c>
      <c r="F32" s="8"/>
      <c r="G32" s="8"/>
      <c r="H32" s="8"/>
      <c r="I32" s="8"/>
      <c r="J32" s="8"/>
      <c r="K32" s="8"/>
      <c r="N32" s="8"/>
      <c r="O32" s="8"/>
      <c r="P32" s="8"/>
      <c r="Q32" s="8"/>
    </row>
    <row r="33" customHeight="1" spans="1:17">
      <c r="A33" s="253" t="s">
        <v>223</v>
      </c>
      <c r="B33" s="8" t="s">
        <v>224</v>
      </c>
      <c r="C33" s="8"/>
      <c r="D33" s="24">
        <f t="shared" si="16"/>
        <v>431.282051282051</v>
      </c>
      <c r="E33" s="8"/>
      <c r="F33" s="24">
        <f>IF(F4&lt;='储能-设备工程参数'!$C$40,'储能-设备工程参数'!$C$41+'储能-设备工程参数'!$E$41,0)</f>
        <v>35.9401709401709</v>
      </c>
      <c r="G33" s="24">
        <f>IF(G4&lt;='储能-设备工程参数'!$C$40,'储能-设备工程参数'!$C$41+'储能-设备工程参数'!$E$41,0)</f>
        <v>35.9401709401709</v>
      </c>
      <c r="H33" s="24">
        <f>IF(H4&lt;='储能-设备工程参数'!$C$40,'储能-设备工程参数'!$C$41+'储能-设备工程参数'!$E$41,0)</f>
        <v>35.9401709401709</v>
      </c>
      <c r="I33" s="24">
        <f>IF(I4&lt;='储能-设备工程参数'!$C$40,'储能-设备工程参数'!$C$41+'储能-设备工程参数'!$E$41,0)</f>
        <v>35.9401709401709</v>
      </c>
      <c r="J33" s="24">
        <f>F33</f>
        <v>35.9401709401709</v>
      </c>
      <c r="K33" s="24">
        <f t="shared" ref="K33:M33" si="24">G33</f>
        <v>35.9401709401709</v>
      </c>
      <c r="L33" s="24">
        <f t="shared" si="24"/>
        <v>35.9401709401709</v>
      </c>
      <c r="M33" s="24">
        <f t="shared" si="24"/>
        <v>35.9401709401709</v>
      </c>
      <c r="N33" s="24">
        <f>F33</f>
        <v>35.9401709401709</v>
      </c>
      <c r="O33" s="24">
        <f t="shared" ref="O33:Q33" si="25">G33</f>
        <v>35.9401709401709</v>
      </c>
      <c r="P33" s="24">
        <f t="shared" si="25"/>
        <v>35.9401709401709</v>
      </c>
      <c r="Q33" s="24">
        <f t="shared" si="25"/>
        <v>35.9401709401709</v>
      </c>
    </row>
    <row r="35" s="237" customFormat="1" customHeight="1" spans="1:25">
      <c r="A35" s="255"/>
      <c r="B35" s="237" t="s">
        <v>225</v>
      </c>
      <c r="F35" s="256">
        <f>F10-F21-F23-F24-F25-F26-F28-F30-F31-F33-F19-F20</f>
        <v>57.8282217169719</v>
      </c>
      <c r="G35" s="256">
        <f t="shared" ref="G35:Q35" si="26">G10-G21-G23-G24-G25-G26-G28-G30-G31-G33-G19-G20</f>
        <v>54.4685192239719</v>
      </c>
      <c r="H35" s="256">
        <f t="shared" si="26"/>
        <v>51.2264063182269</v>
      </c>
      <c r="I35" s="256">
        <f t="shared" si="26"/>
        <v>48.097767364183</v>
      </c>
      <c r="J35" s="256">
        <f t="shared" si="26"/>
        <v>31.1505673730096</v>
      </c>
      <c r="K35" s="256">
        <f t="shared" si="26"/>
        <v>42.165163963551</v>
      </c>
      <c r="L35" s="256">
        <f t="shared" si="26"/>
        <v>57.8282217169719</v>
      </c>
      <c r="M35" s="256">
        <f t="shared" si="26"/>
        <v>54.4685192239719</v>
      </c>
      <c r="N35" s="256">
        <f t="shared" si="26"/>
        <v>46.0184063182269</v>
      </c>
      <c r="O35" s="256">
        <f t="shared" si="26"/>
        <v>28.947621981286</v>
      </c>
      <c r="P35" s="256">
        <f t="shared" si="26"/>
        <v>26.324255178412</v>
      </c>
      <c r="Q35" s="256">
        <f t="shared" si="26"/>
        <v>23.8849115142616</v>
      </c>
      <c r="R35"/>
      <c r="S35"/>
      <c r="T35"/>
      <c r="U35"/>
      <c r="V35"/>
      <c r="W35"/>
      <c r="X35"/>
      <c r="Y35"/>
    </row>
    <row r="37" s="238" customFormat="1" customHeight="1" spans="1:25">
      <c r="A37" s="257"/>
      <c r="B37" s="258" t="s">
        <v>226</v>
      </c>
      <c r="C37" s="259"/>
      <c r="D37" s="259"/>
      <c r="E37" s="259">
        <f>-(E18-E23)</f>
        <v>-474.071428571429</v>
      </c>
      <c r="F37" s="259">
        <f>F10-F18+F17</f>
        <v>93.7683926571429</v>
      </c>
      <c r="G37" s="259">
        <f t="shared" ref="G37:I37" si="27">G10-G18+G17</f>
        <v>90.4086901641429</v>
      </c>
      <c r="H37" s="259">
        <f t="shared" si="27"/>
        <v>87.1665772583979</v>
      </c>
      <c r="I37" s="259">
        <f t="shared" si="27"/>
        <v>78.025717383831</v>
      </c>
      <c r="J37" s="259">
        <f t="shared" ref="J37:Q37" si="28">J10-J18+J17</f>
        <v>63.1969173915543</v>
      </c>
      <c r="K37" s="259">
        <f t="shared" si="28"/>
        <v>-239.885090811502</v>
      </c>
      <c r="L37" s="259">
        <f t="shared" si="28"/>
        <v>79.3113372278999</v>
      </c>
      <c r="M37" s="259">
        <f t="shared" si="28"/>
        <v>76.7915603581499</v>
      </c>
      <c r="N37" s="259">
        <f t="shared" si="28"/>
        <v>70.4539756788411</v>
      </c>
      <c r="O37" s="259">
        <f t="shared" si="28"/>
        <v>57.6508874261355</v>
      </c>
      <c r="P37" s="259">
        <f t="shared" si="28"/>
        <v>55.6833623239799</v>
      </c>
      <c r="Q37" s="259">
        <f t="shared" si="28"/>
        <v>100.062645784658</v>
      </c>
      <c r="R37"/>
      <c r="S37"/>
      <c r="T37"/>
      <c r="U37"/>
      <c r="V37"/>
      <c r="W37"/>
      <c r="X37"/>
      <c r="Y37"/>
    </row>
    <row r="38" s="238" customFormat="1" customHeight="1" spans="1:25">
      <c r="A38" s="257"/>
      <c r="B38" s="259" t="s">
        <v>227</v>
      </c>
      <c r="C38" s="259"/>
      <c r="D38" s="259"/>
      <c r="E38" s="259">
        <f>E37</f>
        <v>-474.071428571429</v>
      </c>
      <c r="F38" s="259">
        <f>E37+F37</f>
        <v>-380.303035914286</v>
      </c>
      <c r="G38" s="259">
        <f t="shared" ref="G38:M38" si="29">F38+G37</f>
        <v>-289.894345750143</v>
      </c>
      <c r="H38" s="259">
        <f t="shared" si="29"/>
        <v>-202.727768491745</v>
      </c>
      <c r="I38" s="259">
        <f t="shared" si="29"/>
        <v>-124.702051107914</v>
      </c>
      <c r="J38" s="259">
        <f t="shared" si="29"/>
        <v>-61.5051337163596</v>
      </c>
      <c r="K38" s="259">
        <f t="shared" si="29"/>
        <v>-301.390224527862</v>
      </c>
      <c r="L38" s="259">
        <f t="shared" si="29"/>
        <v>-222.078887299962</v>
      </c>
      <c r="M38" s="259">
        <f t="shared" si="29"/>
        <v>-145.287326941812</v>
      </c>
      <c r="N38" s="259">
        <f t="shared" ref="N38:Q38" si="30">M38+N37</f>
        <v>-74.8333512629708</v>
      </c>
      <c r="O38" s="259">
        <f t="shared" si="30"/>
        <v>-17.1824638368354</v>
      </c>
      <c r="P38" s="259">
        <f t="shared" si="30"/>
        <v>38.5008984871446</v>
      </c>
      <c r="Q38" s="259">
        <f t="shared" si="30"/>
        <v>138.563544271803</v>
      </c>
      <c r="R38"/>
      <c r="S38"/>
      <c r="T38"/>
      <c r="U38"/>
      <c r="V38"/>
      <c r="W38"/>
      <c r="X38"/>
      <c r="Y38"/>
    </row>
    <row r="39" s="238" customFormat="1" customHeight="1" spans="1:25">
      <c r="A39" s="257"/>
      <c r="B39" s="260"/>
      <c r="L39"/>
      <c r="M39"/>
      <c r="N39"/>
      <c r="O39"/>
      <c r="P39"/>
      <c r="Q39"/>
      <c r="R39"/>
      <c r="S39"/>
      <c r="T39"/>
      <c r="U39"/>
      <c r="V39"/>
      <c r="W39"/>
      <c r="X39"/>
      <c r="Y39"/>
    </row>
    <row r="40" s="238" customFormat="1" customHeight="1" spans="1:25">
      <c r="A40" s="257"/>
      <c r="B40" s="261" t="s">
        <v>228</v>
      </c>
      <c r="C40" s="259"/>
      <c r="D40" s="259"/>
      <c r="E40" s="259">
        <f>E37</f>
        <v>-474.071428571429</v>
      </c>
      <c r="F40" s="259">
        <f>F37/(1+'储能-投资参数'!$C$82)^'储能-计算界面-年'!F4</f>
        <v>86.8225857936508</v>
      </c>
      <c r="G40" s="259">
        <f>G37/(1+'储能-投资参数'!$C$82)^'储能-计算界面-年'!G4</f>
        <v>77.5108797703557</v>
      </c>
      <c r="H40" s="259">
        <f>H37/(1+'储能-投资参数'!$C$82)^'储能-计算界面-年'!H4</f>
        <v>69.1956393670917</v>
      </c>
      <c r="I40" s="259">
        <f>I37/(1+'储能-投资参数'!$C$82)^'储能-计算界面-年'!I4</f>
        <v>57.351231562975</v>
      </c>
      <c r="J40" s="259">
        <f>J37/(1+'储能-投资参数'!$C$82)^'储能-计算界面-年'!J4</f>
        <v>43.010760081022</v>
      </c>
      <c r="K40" s="259">
        <f>K37/(1+'储能-投资参数'!$C$82)^'储能-计算界面-年'!K4</f>
        <v>-151.168298171504</v>
      </c>
      <c r="L40" s="259">
        <f>L37/(1+'储能-投资参数'!$C$82)^'储能-计算界面-年'!L4</f>
        <v>46.2774035078757</v>
      </c>
      <c r="M40"/>
      <c r="N40"/>
      <c r="O40"/>
      <c r="P40"/>
      <c r="Q40"/>
      <c r="R40"/>
      <c r="S40"/>
      <c r="T40"/>
      <c r="U40"/>
      <c r="V40"/>
      <c r="W40"/>
      <c r="X40"/>
      <c r="Y40"/>
    </row>
    <row r="41" s="238" customFormat="1" customHeight="1" spans="1:25">
      <c r="A41" s="257"/>
      <c r="B41" s="261" t="s">
        <v>229</v>
      </c>
      <c r="C41" s="259"/>
      <c r="D41" s="259"/>
      <c r="E41" s="259">
        <f>E40</f>
        <v>-474.071428571429</v>
      </c>
      <c r="F41" s="259">
        <f>F40+E40</f>
        <v>-387.248842777778</v>
      </c>
      <c r="G41" s="259">
        <f t="shared" ref="G41:L41" si="31">G40+F41</f>
        <v>-309.737963007422</v>
      </c>
      <c r="H41" s="259">
        <f t="shared" si="31"/>
        <v>-240.54232364033</v>
      </c>
      <c r="I41" s="259">
        <f t="shared" si="31"/>
        <v>-183.191092077355</v>
      </c>
      <c r="J41" s="259">
        <f t="shared" si="31"/>
        <v>-140.180331996333</v>
      </c>
      <c r="K41" s="259">
        <f t="shared" si="31"/>
        <v>-291.348630167837</v>
      </c>
      <c r="L41" s="259">
        <f t="shared" si="31"/>
        <v>-245.071226659962</v>
      </c>
      <c r="M41"/>
      <c r="N41"/>
      <c r="O41"/>
      <c r="P41"/>
      <c r="Q41"/>
      <c r="R41"/>
      <c r="S41"/>
      <c r="T41"/>
      <c r="U41"/>
      <c r="V41"/>
      <c r="W41"/>
      <c r="X41"/>
      <c r="Y41"/>
    </row>
    <row r="43" customHeight="1" spans="4:11">
      <c r="D43"/>
      <c r="E43"/>
      <c r="F43"/>
      <c r="G43"/>
      <c r="H43"/>
      <c r="I43"/>
      <c r="J43"/>
      <c r="K43"/>
    </row>
    <row r="44" customHeight="1" spans="2:5">
      <c r="B44" s="8" t="s">
        <v>69</v>
      </c>
      <c r="C44" s="131">
        <f>E44+E37</f>
        <v>-168.338607442453</v>
      </c>
      <c r="D44" s="8" t="s">
        <v>230</v>
      </c>
      <c r="E44" s="131">
        <f>NPV('储能-投资参数'!C82,'储能-计算界面-年'!F37:N37)</f>
        <v>305.732821128976</v>
      </c>
    </row>
    <row r="45" customHeight="1" spans="2:5">
      <c r="B45" s="8" t="s">
        <v>72</v>
      </c>
      <c r="C45" s="13">
        <f>IRR(E37:Q37)</f>
        <v>0.0437673267871723</v>
      </c>
      <c r="D45" s="8"/>
      <c r="E45" s="8"/>
    </row>
    <row r="46" customHeight="1" spans="2:5">
      <c r="B46" s="8" t="s">
        <v>73</v>
      </c>
      <c r="C46" s="19">
        <f>D58</f>
        <v>0</v>
      </c>
      <c r="D46" s="8"/>
      <c r="E46" s="8"/>
    </row>
    <row r="47" customHeight="1" spans="2:5">
      <c r="B47" s="9" t="s">
        <v>74</v>
      </c>
      <c r="C47" s="19" t="e">
        <f>D59</f>
        <v>#DIV/0!</v>
      </c>
      <c r="D47" s="8"/>
      <c r="E47" s="8"/>
    </row>
    <row r="48" customHeight="1" spans="2:5">
      <c r="B48" s="8" t="s">
        <v>75</v>
      </c>
      <c r="C48" s="19">
        <f>C60</f>
        <v>0.889115959316879</v>
      </c>
      <c r="D48" s="8"/>
      <c r="E48" s="8"/>
    </row>
    <row r="50" customHeight="1" spans="2:12">
      <c r="B50" s="8" t="s">
        <v>231</v>
      </c>
      <c r="C50" s="8"/>
      <c r="D50" s="24"/>
      <c r="E50" s="24"/>
      <c r="F50" s="24"/>
      <c r="G50" s="24"/>
      <c r="H50" s="24"/>
      <c r="I50" s="24"/>
      <c r="J50" s="24"/>
      <c r="K50" s="24"/>
      <c r="L50" s="24"/>
    </row>
    <row r="51" customHeight="1" spans="2:17">
      <c r="B51" s="8" t="s">
        <v>232</v>
      </c>
      <c r="C51" s="262" t="s">
        <v>233</v>
      </c>
      <c r="D51" s="8"/>
      <c r="E51" s="24">
        <f>'储能-设备工程参数'!G33+IF('储能-投资参数'!C21=1,[1]租赁!J148+[1]租赁!K148,0)</f>
        <v>52.5879120879121</v>
      </c>
      <c r="F51" s="24">
        <f>(F19+F20)/(1+'储能-投资参数'!$C$73)*'储能-投资参数'!$C$73+F29/1.17*0.17</f>
        <v>6.68142892307692</v>
      </c>
      <c r="G51" s="24">
        <f>(G19+G20)/(1+'储能-投资参数'!$C$73)*'储能-投资参数'!$C$73+G29/1.17*0.17</f>
        <v>6.44757891076923</v>
      </c>
      <c r="H51" s="24">
        <f>(H19+H20)/(1+'储能-投资参数'!$C$73)*'储能-投资参数'!$C$73+H29/1.17*0.17</f>
        <v>6.22191364889231</v>
      </c>
      <c r="I51" s="24">
        <f>(I19+I20)/(1+'储能-投资参数'!$C$73)*'储能-投资参数'!$C$73+I29/1.17*0.17</f>
        <v>6.00414667118108</v>
      </c>
      <c r="J51" s="24">
        <f>(J19+J20)/(1+'储能-投资参数'!$C$73)*'储能-投资参数'!$C$73+J29/1.17*0.17</f>
        <v>5.79400153768974</v>
      </c>
      <c r="K51" s="24">
        <f>(K19+K20)/(1+'储能-投资参数'!$C$73)*'储能-投资参数'!$C$73+K29/1.17*0.17</f>
        <v>57.7432261358853</v>
      </c>
      <c r="L51" s="24">
        <f>(L19+L20)/(1+'储能-投资参数'!$C$73)*'储能-投资参数'!$C$73+L29/1.17*0.17</f>
        <v>6.68142892307692</v>
      </c>
      <c r="M51" s="24">
        <f>(M19+M20)/(1+'储能-投资参数'!$C$73)*'储能-投资参数'!$C$73+M29/1.17*0.17</f>
        <v>6.44757891076923</v>
      </c>
      <c r="N51" s="24">
        <f>(N19+N20)/(1+'储能-投资参数'!$C$73)*'储能-投资参数'!$C$73+N29/1.17*0.17</f>
        <v>6.22191364889231</v>
      </c>
      <c r="O51" s="24">
        <f>(O19+O20)/(1+'储能-投资参数'!$C$73)*'储能-投资参数'!$C$73+O29/1.17*0.17</f>
        <v>6.00414667118108</v>
      </c>
      <c r="P51" s="24">
        <f>(P19+P20)/(1+'储能-投资参数'!$C$73)*'储能-投资参数'!$C$73+P29/1.17*0.17</f>
        <v>5.79400153768974</v>
      </c>
      <c r="Q51" s="24">
        <f>(Q19+Q20)/(1+'储能-投资参数'!$C$73)*'储能-投资参数'!$C$73+Q29/1.17*0.17</f>
        <v>5.5912114838706</v>
      </c>
    </row>
    <row r="52" customHeight="1" spans="2:17">
      <c r="B52" s="8" t="s">
        <v>234</v>
      </c>
      <c r="C52" s="8"/>
      <c r="D52" s="8"/>
      <c r="E52" s="263">
        <f>E51</f>
        <v>52.5879120879121</v>
      </c>
      <c r="F52" s="263">
        <f>E52+F51</f>
        <v>59.269341010989</v>
      </c>
      <c r="G52" s="263">
        <f>F52+G51</f>
        <v>65.7169199217582</v>
      </c>
      <c r="H52" s="263">
        <f t="shared" ref="H52:L52" si="32">G52+H51</f>
        <v>71.9388335706505</v>
      </c>
      <c r="I52" s="263">
        <f t="shared" si="32"/>
        <v>77.9429802418316</v>
      </c>
      <c r="J52" s="263">
        <f t="shared" si="32"/>
        <v>83.7369817795213</v>
      </c>
      <c r="K52" s="263">
        <f t="shared" si="32"/>
        <v>141.480207915407</v>
      </c>
      <c r="L52" s="263">
        <f t="shared" si="32"/>
        <v>148.161636838484</v>
      </c>
      <c r="M52" s="263">
        <f>M51</f>
        <v>6.44757891076923</v>
      </c>
      <c r="N52" s="263">
        <f t="shared" ref="N52" si="33">M52+N51</f>
        <v>12.6694925596615</v>
      </c>
      <c r="O52" s="263">
        <f t="shared" ref="O52" si="34">N52+O51</f>
        <v>18.6736392308426</v>
      </c>
      <c r="P52" s="263">
        <f t="shared" ref="P52" si="35">O52+P51</f>
        <v>24.4676407685324</v>
      </c>
      <c r="Q52" s="263">
        <f t="shared" ref="Q52" si="36">P52+Q51</f>
        <v>30.058852252403</v>
      </c>
    </row>
    <row r="53" customHeight="1" spans="2:17">
      <c r="B53" s="8" t="s">
        <v>235</v>
      </c>
      <c r="C53" s="8"/>
      <c r="D53" s="8"/>
      <c r="E53" s="8"/>
      <c r="F53" s="24">
        <f>F11/(1+'储能-投资参数'!$C$73)*'储能-投资参数'!$C$73</f>
        <v>20.6289118</v>
      </c>
      <c r="G53" s="24">
        <f>G11/(1+'储能-投资参数'!$C$73)*'储能-投资参数'!$C$73</f>
        <v>19.906899887</v>
      </c>
      <c r="H53" s="24">
        <f>H11/(1+'储能-投资参数'!$C$73)*'储能-投资参数'!$C$73</f>
        <v>19.210158390955</v>
      </c>
      <c r="I53" s="24">
        <f>I11/(1+'储能-投资参数'!$C$73)*'储能-投资参数'!$C$73</f>
        <v>18.5378028472716</v>
      </c>
      <c r="J53" s="24">
        <f>J11/(1+'储能-投资参数'!$C$73)*'储能-投资参数'!$C$73</f>
        <v>17.8889797476171</v>
      </c>
      <c r="K53" s="24">
        <f>K11/(1+'储能-投资参数'!$C$73)*'储能-投资参数'!$C$73</f>
        <v>17.2628654564505</v>
      </c>
      <c r="L53" s="24">
        <f>L11/(1+'储能-投资参数'!$C$73)*'储能-投资参数'!$C$73</f>
        <v>20.6289118</v>
      </c>
      <c r="M53" s="24">
        <f>M11/(1+'储能-投资参数'!$C$73)*'储能-投资参数'!$C$73</f>
        <v>19.906899887</v>
      </c>
      <c r="N53" s="24">
        <f>N11/(1+'储能-投资参数'!$C$73)*'储能-投资参数'!$C$73</f>
        <v>19.210158390955</v>
      </c>
      <c r="O53" s="24">
        <f>O11/(1+'储能-投资参数'!$C$73)*'储能-投资参数'!$C$73</f>
        <v>18.5378028472716</v>
      </c>
      <c r="P53" s="24">
        <f>P11/(1+'储能-投资参数'!$C$73)*'储能-投资参数'!$C$73</f>
        <v>17.8889797476171</v>
      </c>
      <c r="Q53" s="24">
        <f>Q11/(1+'储能-投资参数'!$C$73)*'储能-投资参数'!$C$73</f>
        <v>17.2628654564505</v>
      </c>
    </row>
    <row r="54" s="237" customFormat="1" customHeight="1" spans="1:25">
      <c r="A54" s="255"/>
      <c r="B54" s="264" t="s">
        <v>236</v>
      </c>
      <c r="C54" s="264"/>
      <c r="D54" s="264"/>
      <c r="E54" s="264"/>
      <c r="F54" s="265">
        <f>IF(SUM($F$53:F53)&lt;=F52,F53,IF(F53&lt;SUM($F$53:F53)-$E$51,IF(D51&gt;0,D51,0),$E$51-SUM(F53:$F$53)))</f>
        <v>20.6289118</v>
      </c>
      <c r="G54" s="265">
        <f>IF(SUM($F$53:G53)&lt;=G52,G53,IF(G52-SUM($F$54)&lt;0,0,G52-SUM(F53)))</f>
        <v>19.906899887</v>
      </c>
      <c r="H54" s="265">
        <f>IF(SUM($F$53:H53)&lt;=H52,H53,IF(H52-SUM($F$54:G54)&gt;0,H52-SUM($F$54:G54),0))</f>
        <v>19.210158390955</v>
      </c>
      <c r="I54" s="265">
        <f>IF(SUM($F$53:I53)&lt;=I52,I53,IF(I52-SUM($F$54:H54)&gt;0,I52-SUM($F$54:H54),0))</f>
        <v>18.1970101638766</v>
      </c>
      <c r="J54" s="265">
        <f>IF(SUM($F$53:J53)&lt;=J52,J53,IF(J52-SUM($F$54:I54)&gt;0,J52-SUM($F$54:I54),0))</f>
        <v>5.79400153768974</v>
      </c>
      <c r="K54" s="265">
        <f>IF(SUM($F$53:K53)&lt;=K52,K53,IF(K52-SUM($F$54:J54)&gt;0,K52-SUM($F$54:J54),0))</f>
        <v>17.2628654564505</v>
      </c>
      <c r="L54" s="265">
        <f>IF(SUM($F$53:L53)&lt;=L52,L53,IF(L52-SUM($F$54:K54)&gt;0,L52-SUM($F$54:K54),0))</f>
        <v>20.6289118</v>
      </c>
      <c r="M54" s="265">
        <f>IF(SUM($F$53:M53)&lt;=M52,M53,IF(M53&lt;SUM($F$53:M53)-$E$51,IF(K51&gt;0,K51,0),$E$51-SUM($F53:M$53)))</f>
        <v>57.7432261358853</v>
      </c>
      <c r="N54" s="265">
        <f>IF(SUM($F$53:N53)&lt;=N52,N53,IF(N52-SUM($F$54)&lt;0,0,N52-SUM(M53)))</f>
        <v>0</v>
      </c>
      <c r="O54" s="265">
        <f>IF(SUM($F$53:O53)&lt;=O52,O53,IF(O52-SUM($F$54:N54)&gt;0,O52-SUM($F$54:N54),0))</f>
        <v>0</v>
      </c>
      <c r="P54" s="265">
        <f>IF(SUM($F$53:P53)&lt;=P52,P53,IF(P52-SUM($F$54:O54)&gt;0,P52-SUM($F$54:O54),0))</f>
        <v>0</v>
      </c>
      <c r="Q54" s="265">
        <f>IF(SUM($F$53:Q53)&lt;=Q52,Q53,IF(Q52-SUM($F$54:P54)&gt;0,Q52-SUM($F$54:P54),0))</f>
        <v>0</v>
      </c>
      <c r="R54"/>
      <c r="S54"/>
      <c r="T54"/>
      <c r="U54"/>
      <c r="V54"/>
      <c r="W54"/>
      <c r="X54"/>
      <c r="Y54"/>
    </row>
    <row r="55" s="237" customFormat="1" customHeight="1" spans="1:25">
      <c r="A55" s="255"/>
      <c r="B55" s="266" t="s">
        <v>237</v>
      </c>
      <c r="C55" s="266"/>
      <c r="D55" s="266"/>
      <c r="E55" s="266"/>
      <c r="F55" s="267">
        <f>E51+F51-F53</f>
        <v>38.640429210989</v>
      </c>
      <c r="G55" s="267">
        <f>F55+G51-G53</f>
        <v>25.1811082347582</v>
      </c>
      <c r="H55" s="267">
        <f>G55+H51-H53</f>
        <v>12.1928634926955</v>
      </c>
      <c r="I55" s="267">
        <f>H55+I51-I53</f>
        <v>-0.340792683394987</v>
      </c>
      <c r="J55" s="267">
        <f>I55+J51-J53</f>
        <v>-12.4357708933223</v>
      </c>
      <c r="K55" s="267">
        <f>K51-K53</f>
        <v>40.4803606794348</v>
      </c>
      <c r="L55" s="267">
        <f>K55+L51-L53</f>
        <v>26.5328778025117</v>
      </c>
      <c r="M55" s="267">
        <f>L55+M51-M53</f>
        <v>13.0735568262809</v>
      </c>
      <c r="N55" s="267">
        <f>M55+N51-N53</f>
        <v>0.0853120842182342</v>
      </c>
      <c r="O55" s="267">
        <f>N55+O51-O53</f>
        <v>-12.4483440918723</v>
      </c>
      <c r="P55" s="267">
        <v>0</v>
      </c>
      <c r="Q55" s="267">
        <v>0</v>
      </c>
      <c r="R55"/>
      <c r="S55"/>
      <c r="T55"/>
      <c r="U55"/>
      <c r="V55"/>
      <c r="W55"/>
      <c r="X55"/>
      <c r="Y55"/>
    </row>
    <row r="56" customHeight="1" spans="2:17">
      <c r="B56" s="11" t="s">
        <v>238</v>
      </c>
      <c r="C56" s="8"/>
      <c r="D56" s="8"/>
      <c r="E56" s="8"/>
      <c r="F56" s="24">
        <f>F53-F54</f>
        <v>0</v>
      </c>
      <c r="G56" s="24">
        <f>G53-G54</f>
        <v>0</v>
      </c>
      <c r="H56" s="24">
        <f t="shared" ref="H56" si="37">H53-H54</f>
        <v>0</v>
      </c>
      <c r="I56" s="24">
        <v>0</v>
      </c>
      <c r="J56" s="24">
        <f>-J55</f>
        <v>12.4357708933223</v>
      </c>
      <c r="K56" s="24">
        <v>0</v>
      </c>
      <c r="L56" s="24">
        <f>L53-L54</f>
        <v>0</v>
      </c>
      <c r="M56">
        <v>0</v>
      </c>
      <c r="N56">
        <v>0</v>
      </c>
      <c r="O56" s="271">
        <f>-O55</f>
        <v>12.4483440918723</v>
      </c>
      <c r="P56" s="271">
        <f>P53-P51</f>
        <v>12.0949782099273</v>
      </c>
      <c r="Q56" s="271">
        <f>Q53-Q51</f>
        <v>11.6716539725799</v>
      </c>
    </row>
    <row r="58" s="119" customFormat="1" customHeight="1" spans="1:25">
      <c r="A58" s="239"/>
      <c r="B58" s="19" t="s">
        <v>73</v>
      </c>
      <c r="C58" s="19"/>
      <c r="D58" s="22">
        <f>SUM(F58:N58)</f>
        <v>0</v>
      </c>
      <c r="E58" s="19"/>
      <c r="F58" s="19">
        <f>IF(F38&lt;0,0,E4-F38/F37)</f>
        <v>0</v>
      </c>
      <c r="G58" s="19">
        <f>IF(SUM($F$58:F58)&gt;0,0,IF(G38&lt;0,0,F4-F38/G37))</f>
        <v>0</v>
      </c>
      <c r="H58" s="19">
        <f>IF(SUM($F$58:G58)&gt;0,0,IF(H38&lt;0,0,G4-G38/H37))</f>
        <v>0</v>
      </c>
      <c r="I58" s="19">
        <f>IF(SUM($F$58:H58)&gt;0,0,IF(I38&lt;0,0,H4-H38/I37))</f>
        <v>0</v>
      </c>
      <c r="J58" s="19">
        <f>IF(SUM($F$58:I58)&gt;0,0,IF(J38&lt;0,0,I4-I38/J37))</f>
        <v>0</v>
      </c>
      <c r="K58" s="19">
        <f>IF(SUM($F$58:J58)&gt;0,0,IF(K38&lt;0,0,J4-J38/K37))</f>
        <v>0</v>
      </c>
      <c r="L58" s="19">
        <f>IF(SUM($F$58:K58)&gt;0,0,IF(L38&lt;0,0,K4-K38/L37))</f>
        <v>0</v>
      </c>
      <c r="M58" s="19">
        <f>IF(SUM($F$58:L58)&gt;0,0,IF(M38&lt;0,0,L4-L38/M37))</f>
        <v>0</v>
      </c>
      <c r="N58" s="19">
        <f>IF(SUM($F$58:M58)&gt;0,0,IF(N38&lt;0,0,M4-M38/N37))</f>
        <v>0</v>
      </c>
      <c r="O58" s="19">
        <f>IF(SUM($F$58:N58)&gt;0,0,IF(O38&lt;0,0,N4-N38/O37))</f>
        <v>0</v>
      </c>
      <c r="P58" s="19">
        <f>IF(SUM($F$58:O58)&gt;0,0,IF(P38&lt;0,0,O4-O38/P37))</f>
        <v>10.3085744667656</v>
      </c>
      <c r="Q58" s="19">
        <f>IF(SUM($F$58:P58)&gt;0,0,IF(Q38&lt;0,0,P4-P38/Q37))</f>
        <v>0</v>
      </c>
      <c r="R58"/>
      <c r="S58"/>
      <c r="T58"/>
      <c r="U58"/>
      <c r="V58"/>
      <c r="W58"/>
      <c r="X58"/>
      <c r="Y58"/>
    </row>
    <row r="59" customHeight="1" spans="2:17">
      <c r="B59" s="9" t="s">
        <v>74</v>
      </c>
      <c r="C59" s="8"/>
      <c r="D59" s="19" t="e">
        <f>SUM(F59:N59)</f>
        <v>#DIV/0!</v>
      </c>
      <c r="E59" s="8"/>
      <c r="F59" s="19">
        <f>IF(F41&lt;0,0,E4-F41/F40)</f>
        <v>0</v>
      </c>
      <c r="G59" s="19">
        <f>IF(SUM($F$59:F59)&gt;0,0,IF(G41&lt;0,0,F4-F41/G40))</f>
        <v>0</v>
      </c>
      <c r="H59" s="19">
        <f>IF(SUM($F$59:G59)&gt;0,0,IF(H41&lt;0,0,G4-G41/H40))</f>
        <v>0</v>
      </c>
      <c r="I59" s="19">
        <f>IF(SUM($F$59:H59)&gt;0,0,IF(I41&lt;0,0,H4-H41/I40))</f>
        <v>0</v>
      </c>
      <c r="J59" s="19">
        <f>IF(SUM($F$59:I59)&gt;0,0,IF(J41&lt;0,0,I4-I41/J40))</f>
        <v>0</v>
      </c>
      <c r="K59" s="19">
        <f>IF(SUM($F$59:J59)&gt;0,0,IF(K41&lt;0,0,J4-J41/K40))</f>
        <v>0</v>
      </c>
      <c r="L59" s="19">
        <f>IF(SUM($F$59:K59)&gt;0,0,IF(L41&lt;0,0,K4-K41/L40))</f>
        <v>0</v>
      </c>
      <c r="M59" s="19" t="e">
        <f>IF(SUM($F$59:L59)&gt;0,0,IF(M41&lt;0,0,L4-L41/M40))</f>
        <v>#DIV/0!</v>
      </c>
      <c r="N59" s="19" t="e">
        <f>IF(SUM($F$59:M59)&gt;0,0,IF(N41&lt;0,0,M4-M41/N40))</f>
        <v>#DIV/0!</v>
      </c>
      <c r="O59" s="19" t="e">
        <f>IF(SUM($F$59:N59)&gt;0,0,IF(O41&lt;0,0,N4-N41/O40))</f>
        <v>#DIV/0!</v>
      </c>
      <c r="P59" s="19" t="e">
        <f>IF(SUM($F$59:O59)&gt;0,0,IF(P41&lt;0,0,O4-O41/P40))</f>
        <v>#DIV/0!</v>
      </c>
      <c r="Q59" s="19" t="e">
        <f>IF(SUM($F$59:P59)&gt;0,0,IF(Q41&lt;0,0,P4-P41/Q40))</f>
        <v>#DIV/0!</v>
      </c>
    </row>
    <row r="60" customHeight="1" spans="2:11">
      <c r="B60" s="8" t="s">
        <v>75</v>
      </c>
      <c r="C60" s="268">
        <f>(-C61-D62+D63-D64)/D65</f>
        <v>0.889115959316879</v>
      </c>
      <c r="D60" s="8"/>
      <c r="E60" s="8"/>
      <c r="F60" s="8"/>
      <c r="G60" s="8"/>
      <c r="H60" s="8"/>
      <c r="I60" s="8"/>
      <c r="J60" s="8"/>
      <c r="K60" s="8"/>
    </row>
    <row r="61" customHeight="1" spans="2:11">
      <c r="B61" s="19" t="s">
        <v>239</v>
      </c>
      <c r="C61" s="19">
        <f>-E18+E23</f>
        <v>-474.071428571429</v>
      </c>
      <c r="D61" s="8"/>
      <c r="E61" s="8"/>
      <c r="F61" s="19"/>
      <c r="G61" s="19"/>
      <c r="H61" s="19"/>
      <c r="I61" s="19"/>
      <c r="J61" s="19"/>
      <c r="K61" s="19"/>
    </row>
    <row r="62" customHeight="1" spans="2:12">
      <c r="B62" s="19" t="s">
        <v>240</v>
      </c>
      <c r="C62" s="8"/>
      <c r="D62" s="19">
        <f>SUM(F62:N62)</f>
        <v>91.6513965859532</v>
      </c>
      <c r="E62" s="8"/>
      <c r="F62" s="19">
        <f>F54/(1+'储能-投资参数'!$C$82)^F4</f>
        <v>19.1008442592593</v>
      </c>
      <c r="G62" s="19">
        <f>G54/(1+'储能-投资参数'!$C$82)^G4</f>
        <v>17.0669580649863</v>
      </c>
      <c r="H62" s="19">
        <f>H54/(1+'储能-投资参数'!$C$82)^H4</f>
        <v>15.2496430858442</v>
      </c>
      <c r="I62" s="19">
        <f>I54/(1+'储能-投资参数'!$C$82)^I4</f>
        <v>13.3753457020898</v>
      </c>
      <c r="J62" s="19">
        <f>J54/(1+'储能-投资参数'!$C$82)^J4</f>
        <v>3.94330009013936</v>
      </c>
      <c r="K62" s="19">
        <f>K54/(1+'储能-投资参数'!$C$82)^K4</f>
        <v>10.8785334836246</v>
      </c>
      <c r="L62" s="19">
        <f>L54/(1+'储能-投资参数'!$C$82)^L4</f>
        <v>12.0367719000097</v>
      </c>
    </row>
    <row r="63" customHeight="1" spans="2:12">
      <c r="B63" s="19" t="s">
        <v>241</v>
      </c>
      <c r="C63" s="8"/>
      <c r="D63" s="19">
        <f>SUM(F63:N63)</f>
        <v>237.760202401846</v>
      </c>
      <c r="E63" s="8"/>
      <c r="F63" s="19">
        <f>(F28+F30+F22+F23+F24+F21+F29+F32+F31)/(1+'储能-投资参数'!$C$82)^F4</f>
        <v>2.05843253968254</v>
      </c>
      <c r="G63" s="19">
        <f>(G28+G30+G22+G23+G24+G21+G29+G32+G31)/(1+'储能-投资参数'!$C$82)^G4</f>
        <v>1.90595605526161</v>
      </c>
      <c r="H63" s="19">
        <f>(H28+H30+H22+H23+H24+H21+H29+H32+H31)/(1+'储能-投资参数'!$C$82)^H4</f>
        <v>1.76477412524223</v>
      </c>
      <c r="I63" s="19">
        <f>(I28+I30+I22+I23+I24+I21+I29+I32+I31)/(1+'储能-投资参数'!$C$82)^I4</f>
        <v>1.63405011596503</v>
      </c>
      <c r="J63" s="19">
        <f>(J28+J30+J22+J23+J24+J21+J29+J32+J31)/(1+'储能-投资参数'!$C$82)^J4</f>
        <v>1.51300936663429</v>
      </c>
      <c r="K63" s="19">
        <f>(K28+K30+K22+K23+K24+K21+K29+K32+K31)/(1+'储能-投资参数'!$C$82)^K4</f>
        <v>227.586818533564</v>
      </c>
      <c r="L63" s="19">
        <f>(L28+L30+L22+L23+L24+L21+L29+L32+L31)/(1+'储能-投资参数'!$C$82)^L4</f>
        <v>1.29716166549579</v>
      </c>
    </row>
    <row r="64" customHeight="1" spans="2:11">
      <c r="B64" s="269" t="s">
        <v>242</v>
      </c>
      <c r="C64" s="8"/>
      <c r="D64" s="19">
        <f>D32/(1+'储能-投资参数'!C82)^E4</f>
        <v>0</v>
      </c>
      <c r="E64" s="8"/>
      <c r="F64" s="19"/>
      <c r="G64" s="19"/>
      <c r="H64" s="19"/>
      <c r="I64" s="19"/>
      <c r="J64" s="19"/>
      <c r="K64" s="19"/>
    </row>
    <row r="65" customHeight="1" spans="1:12">
      <c r="A65" s="7"/>
      <c r="B65" s="19" t="s">
        <v>243</v>
      </c>
      <c r="C65" s="8"/>
      <c r="D65" s="19">
        <f>SUM(F65:N65)</f>
        <v>697.524578080698</v>
      </c>
      <c r="E65" s="8"/>
      <c r="F65" s="19">
        <f>F5/(1+'储能-投资参数'!$C$82)^F4</f>
        <v>133.055416666667</v>
      </c>
      <c r="G65" s="19">
        <f>G5/(1+'储能-投资参数'!$C$82)^G4</f>
        <v>118.887478780864</v>
      </c>
      <c r="H65" s="19">
        <f>H5/(1+'储能-投资参数'!$C$82)^H4</f>
        <v>106.22816391068</v>
      </c>
      <c r="I65" s="19">
        <f>I5/(1+'储能-投资参数'!$C$82)^I4</f>
        <v>94.9168316424127</v>
      </c>
      <c r="J65" s="19">
        <f>J5/(1+'储能-投资参数'!$C$82)^J4</f>
        <v>84.8099467916003</v>
      </c>
      <c r="K65" s="19">
        <f>K5/(1+'储能-投资参数'!$C$82)^K4</f>
        <v>75.779258012865</v>
      </c>
      <c r="L65" s="19">
        <f>L5/(1+'储能-投资参数'!$C$82)^L4</f>
        <v>83.8474822756093</v>
      </c>
    </row>
    <row r="67" customHeight="1" spans="1:11">
      <c r="A67" s="7"/>
      <c r="B67" s="272"/>
      <c r="D67" s="119"/>
      <c r="E67" s="119"/>
      <c r="F67" s="119"/>
      <c r="G67" s="119"/>
      <c r="H67" s="119"/>
      <c r="I67" s="119"/>
      <c r="J67" s="119"/>
      <c r="K67" s="119"/>
    </row>
    <row r="68" customHeight="1" spans="1:11">
      <c r="A68" s="7"/>
      <c r="B68" s="272"/>
      <c r="D68" s="119"/>
      <c r="E68" s="119"/>
      <c r="F68" s="119"/>
      <c r="G68" s="119"/>
      <c r="H68" s="119"/>
      <c r="I68" s="119"/>
      <c r="J68" s="119"/>
      <c r="K68" s="119"/>
    </row>
    <row r="69" customHeight="1" spans="1:8">
      <c r="A69" s="7"/>
      <c r="D69" s="119"/>
      <c r="E69" s="119"/>
      <c r="F69" s="119"/>
      <c r="G69" s="119"/>
      <c r="H69" s="119"/>
    </row>
    <row r="70" customHeight="1" spans="1:10">
      <c r="A70" s="7"/>
      <c r="E70" s="27"/>
      <c r="F70" s="27"/>
      <c r="G70" s="27"/>
      <c r="H70" s="27"/>
      <c r="I70" s="27"/>
      <c r="J70" s="27"/>
    </row>
    <row r="71" customHeight="1" spans="1:10">
      <c r="A71" s="7"/>
      <c r="E71" s="27"/>
      <c r="F71" s="27"/>
      <c r="G71" s="27"/>
      <c r="H71" s="27"/>
      <c r="I71" s="27"/>
      <c r="J71" s="27"/>
    </row>
    <row r="72" customHeight="1" spans="1:10">
      <c r="A72" s="7"/>
      <c r="B72" s="273"/>
      <c r="C72" s="119"/>
      <c r="E72" s="27"/>
      <c r="F72" s="27"/>
      <c r="G72" s="27"/>
      <c r="H72" s="27"/>
      <c r="I72" s="27"/>
      <c r="J72" s="27"/>
    </row>
    <row r="73" customHeight="1" spans="1:10">
      <c r="A73" s="7"/>
      <c r="E73" s="27"/>
      <c r="F73" s="27"/>
      <c r="G73" s="27"/>
      <c r="H73" s="27"/>
      <c r="I73" s="27"/>
      <c r="J73" s="27"/>
    </row>
    <row r="74" customHeight="1" spans="1:10">
      <c r="A74" s="7"/>
      <c r="B74" s="15"/>
      <c r="E74" s="27"/>
      <c r="F74" s="27"/>
      <c r="G74" s="27"/>
      <c r="H74" s="27"/>
      <c r="I74" s="27"/>
      <c r="J74" s="27"/>
    </row>
    <row r="75" customHeight="1" spans="1:10">
      <c r="A75" s="7"/>
      <c r="B75" s="15"/>
      <c r="E75" s="27"/>
      <c r="F75" s="27"/>
      <c r="G75" s="27"/>
      <c r="H75" s="27"/>
      <c r="I75" s="27"/>
      <c r="J75" s="27"/>
    </row>
    <row r="76" customHeight="1" spans="1:10">
      <c r="A76" s="7"/>
      <c r="B76" s="15"/>
      <c r="E76" s="27"/>
      <c r="F76" s="27"/>
      <c r="G76" s="27"/>
      <c r="H76" s="27"/>
      <c r="I76" s="27"/>
      <c r="J76" s="27"/>
    </row>
    <row r="77" customHeight="1" spans="1:10">
      <c r="A77" s="7"/>
      <c r="E77" s="27"/>
      <c r="F77" s="27"/>
      <c r="G77" s="27"/>
      <c r="H77" s="27"/>
      <c r="I77" s="27"/>
      <c r="J77" s="27"/>
    </row>
    <row r="78" customHeight="1" spans="1:10">
      <c r="A78" s="7"/>
      <c r="E78" s="27"/>
      <c r="F78" s="27"/>
      <c r="G78" s="27"/>
      <c r="H78" s="27"/>
      <c r="I78" s="27"/>
      <c r="J78" s="27"/>
    </row>
    <row r="79" customHeight="1" spans="1:10">
      <c r="A79" s="7"/>
      <c r="E79" s="27"/>
      <c r="F79" s="27"/>
      <c r="G79" s="27"/>
      <c r="H79" s="27"/>
      <c r="I79" s="27"/>
      <c r="J79" s="27"/>
    </row>
    <row r="80" customHeight="1" spans="1:10">
      <c r="A80" s="7"/>
      <c r="E80" s="27"/>
      <c r="F80" s="27"/>
      <c r="G80" s="27"/>
      <c r="H80" s="27"/>
      <c r="I80" s="27"/>
      <c r="J80" s="27"/>
    </row>
    <row r="81" customHeight="1" spans="1:10">
      <c r="A81" s="7"/>
      <c r="E81" s="27"/>
      <c r="F81" s="27"/>
      <c r="G81" s="27"/>
      <c r="H81" s="27"/>
      <c r="I81" s="27"/>
      <c r="J81" s="27"/>
    </row>
    <row r="82" customHeight="1" spans="1:10">
      <c r="A82" s="7"/>
      <c r="E82" s="27"/>
      <c r="F82" s="27"/>
      <c r="G82" s="27"/>
      <c r="H82" s="27"/>
      <c r="I82" s="27"/>
      <c r="J82" s="27"/>
    </row>
    <row r="83" customHeight="1" spans="1:10">
      <c r="A83" s="7"/>
      <c r="E83" s="27"/>
      <c r="F83" s="27"/>
      <c r="G83" s="27"/>
      <c r="H83" s="27"/>
      <c r="I83" s="27"/>
      <c r="J83" s="27"/>
    </row>
    <row r="84" customHeight="1" spans="1:10">
      <c r="A84" s="7"/>
      <c r="E84" s="27"/>
      <c r="F84" s="27"/>
      <c r="G84" s="27"/>
      <c r="H84" s="27"/>
      <c r="I84" s="27"/>
      <c r="J84" s="27"/>
    </row>
    <row r="85" customHeight="1" spans="1:10">
      <c r="A85" s="7"/>
      <c r="E85" s="27"/>
      <c r="F85" s="27"/>
      <c r="G85" s="27"/>
      <c r="H85" s="27"/>
      <c r="I85" s="27"/>
      <c r="J85" s="27"/>
    </row>
    <row r="86" customHeight="1" spans="1:10">
      <c r="A86" s="7"/>
      <c r="E86" s="27"/>
      <c r="F86" s="27"/>
      <c r="G86" s="27"/>
      <c r="H86" s="27"/>
      <c r="I86" s="27"/>
      <c r="J86" s="27"/>
    </row>
    <row r="87" customHeight="1" spans="1:10">
      <c r="A87" s="7"/>
      <c r="E87" s="27"/>
      <c r="F87" s="27"/>
      <c r="G87" s="27"/>
      <c r="H87" s="27"/>
      <c r="I87" s="27"/>
      <c r="J87" s="27"/>
    </row>
    <row r="88" customHeight="1" spans="1:10">
      <c r="A88" s="7"/>
      <c r="E88" s="27"/>
      <c r="F88" s="27"/>
      <c r="G88" s="27"/>
      <c r="H88" s="27"/>
      <c r="I88" s="27"/>
      <c r="J88" s="27"/>
    </row>
    <row r="89" customHeight="1" spans="1:10">
      <c r="A89" s="7"/>
      <c r="E89" s="27"/>
      <c r="F89" s="27"/>
      <c r="G89" s="27"/>
      <c r="H89" s="27"/>
      <c r="I89" s="27"/>
      <c r="J89" s="27"/>
    </row>
    <row r="90" customHeight="1" spans="1:10">
      <c r="A90" s="7"/>
      <c r="E90" s="27"/>
      <c r="F90" s="27"/>
      <c r="G90" s="27"/>
      <c r="H90" s="27"/>
      <c r="I90" s="27"/>
      <c r="J90" s="27"/>
    </row>
    <row r="91" customHeight="1" spans="1:10">
      <c r="A91" s="7"/>
      <c r="E91" s="27"/>
      <c r="F91" s="27"/>
      <c r="G91" s="27"/>
      <c r="H91" s="27"/>
      <c r="I91" s="27"/>
      <c r="J91" s="27"/>
    </row>
    <row r="92" customHeight="1" spans="1:10">
      <c r="A92" s="7"/>
      <c r="E92" s="27"/>
      <c r="F92" s="27"/>
      <c r="G92" s="27"/>
      <c r="H92" s="27"/>
      <c r="I92" s="27"/>
      <c r="J92" s="27"/>
    </row>
    <row r="93" customHeight="1" spans="1:10">
      <c r="A93" s="7"/>
      <c r="E93" s="27"/>
      <c r="F93" s="27"/>
      <c r="G93" s="27"/>
      <c r="H93" s="27"/>
      <c r="I93" s="27"/>
      <c r="J93" s="27"/>
    </row>
    <row r="94" customHeight="1" spans="1:10">
      <c r="A94" s="7"/>
      <c r="E94" s="27"/>
      <c r="F94" s="27"/>
      <c r="G94" s="27"/>
      <c r="H94" s="27"/>
      <c r="I94" s="27"/>
      <c r="J94" s="27"/>
    </row>
    <row r="95" customHeight="1" spans="1:10">
      <c r="A95" s="7"/>
      <c r="E95" s="27"/>
      <c r="F95" s="27"/>
      <c r="G95" s="27"/>
      <c r="H95" s="27"/>
      <c r="I95" s="27"/>
      <c r="J95" s="27"/>
    </row>
  </sheetData>
  <mergeCells count="4">
    <mergeCell ref="A2:A4"/>
    <mergeCell ref="B2:B4"/>
    <mergeCell ref="C2:C4"/>
    <mergeCell ref="D2:D4"/>
  </mergeCells>
  <pageMargins left="0.7" right="0.7" top="0.75" bottom="0.75" header="0.3" footer="0.3"/>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M50"/>
  <sheetViews>
    <sheetView workbookViewId="0">
      <selection activeCell="C32" sqref="C32:E32"/>
    </sheetView>
  </sheetViews>
  <sheetFormatPr defaultColWidth="8.86666666666667" defaultRowHeight="13.5"/>
  <cols>
    <col min="2" max="2" width="10.1333333333333" customWidth="1"/>
    <col min="14" max="14" width="17.2666666666667" customWidth="1"/>
  </cols>
  <sheetData>
    <row r="1" spans="13:13">
      <c r="M1" t="s">
        <v>244</v>
      </c>
    </row>
    <row r="2" ht="27" customHeight="1" spans="2:9">
      <c r="B2" s="26" t="s">
        <v>245</v>
      </c>
      <c r="C2" s="223"/>
      <c r="D2" s="223"/>
      <c r="E2" s="223"/>
      <c r="F2" s="223"/>
      <c r="G2" s="223"/>
      <c r="H2" s="223"/>
      <c r="I2" s="235"/>
    </row>
    <row r="3" ht="16.5" customHeight="1" spans="2:9">
      <c r="B3" s="8" t="s">
        <v>246</v>
      </c>
      <c r="C3" s="224" t="s">
        <v>247</v>
      </c>
      <c r="D3" s="224"/>
      <c r="E3" s="224"/>
      <c r="F3" s="224"/>
      <c r="G3" s="224"/>
      <c r="H3" s="224"/>
      <c r="I3" s="224"/>
    </row>
    <row r="4" spans="2:9">
      <c r="B4" s="8"/>
      <c r="C4" s="224"/>
      <c r="D4" s="224"/>
      <c r="E4" s="224"/>
      <c r="F4" s="224"/>
      <c r="G4" s="224"/>
      <c r="H4" s="224"/>
      <c r="I4" s="224"/>
    </row>
    <row r="5" ht="82.5" customHeight="1" spans="2:9">
      <c r="B5" s="8"/>
      <c r="C5" s="224"/>
      <c r="D5" s="224"/>
      <c r="E5" s="224"/>
      <c r="F5" s="224"/>
      <c r="G5" s="224"/>
      <c r="H5" s="224"/>
      <c r="I5" s="224"/>
    </row>
    <row r="6" spans="2:9">
      <c r="B6" s="8"/>
      <c r="C6" s="224"/>
      <c r="D6" s="224"/>
      <c r="E6" s="224"/>
      <c r="F6" s="224"/>
      <c r="G6" s="224"/>
      <c r="H6" s="224"/>
      <c r="I6" s="224"/>
    </row>
    <row r="7" spans="2:9">
      <c r="B7" s="8" t="s">
        <v>248</v>
      </c>
      <c r="C7" s="4" t="s">
        <v>247</v>
      </c>
      <c r="D7" s="4"/>
      <c r="E7" s="4"/>
      <c r="F7" s="4"/>
      <c r="G7" s="4"/>
      <c r="H7" s="4"/>
      <c r="I7" s="4"/>
    </row>
    <row r="8" spans="2:9">
      <c r="B8" s="8"/>
      <c r="C8" s="4"/>
      <c r="D8" s="4"/>
      <c r="E8" s="4"/>
      <c r="F8" s="4"/>
      <c r="G8" s="4"/>
      <c r="H8" s="4"/>
      <c r="I8" s="4"/>
    </row>
    <row r="9" spans="2:9">
      <c r="B9" s="8"/>
      <c r="C9" s="4"/>
      <c r="D9" s="4"/>
      <c r="E9" s="4"/>
      <c r="F9" s="4"/>
      <c r="G9" s="4"/>
      <c r="H9" s="4"/>
      <c r="I9" s="4"/>
    </row>
    <row r="10" spans="2:9">
      <c r="B10" s="8"/>
      <c r="C10" s="4"/>
      <c r="D10" s="4"/>
      <c r="E10" s="4"/>
      <c r="F10" s="4"/>
      <c r="G10" s="4"/>
      <c r="H10" s="4"/>
      <c r="I10" s="4"/>
    </row>
    <row r="11" spans="2:9">
      <c r="B11" s="8" t="s">
        <v>249</v>
      </c>
      <c r="C11" s="4" t="s">
        <v>247</v>
      </c>
      <c r="D11" s="4"/>
      <c r="E11" s="4"/>
      <c r="F11" s="4"/>
      <c r="G11" s="4"/>
      <c r="H11" s="4"/>
      <c r="I11" s="4"/>
    </row>
    <row r="12" spans="2:9">
      <c r="B12" s="8"/>
      <c r="C12" s="4"/>
      <c r="D12" s="4"/>
      <c r="E12" s="4"/>
      <c r="F12" s="4"/>
      <c r="G12" s="4"/>
      <c r="H12" s="4"/>
      <c r="I12" s="4"/>
    </row>
    <row r="13" spans="2:9">
      <c r="B13" s="8"/>
      <c r="C13" s="4"/>
      <c r="D13" s="4"/>
      <c r="E13" s="4"/>
      <c r="F13" s="4"/>
      <c r="G13" s="4"/>
      <c r="H13" s="4"/>
      <c r="I13" s="4"/>
    </row>
    <row r="14" ht="16.5" customHeight="1" spans="2:9">
      <c r="B14" s="8"/>
      <c r="C14" s="4"/>
      <c r="D14" s="4"/>
      <c r="E14" s="4"/>
      <c r="F14" s="4"/>
      <c r="G14" s="4"/>
      <c r="H14" s="4"/>
      <c r="I14" s="4"/>
    </row>
    <row r="16" ht="28.5" customHeight="1" spans="2:9">
      <c r="B16" s="1" t="s">
        <v>250</v>
      </c>
      <c r="C16" s="1"/>
      <c r="D16" s="1"/>
      <c r="E16" s="1"/>
      <c r="F16" s="1"/>
      <c r="G16" s="1"/>
      <c r="H16" s="1"/>
      <c r="I16" s="1"/>
    </row>
    <row r="17" ht="35.55" customHeight="1" spans="2:5">
      <c r="B17" s="225" t="s">
        <v>251</v>
      </c>
      <c r="C17" s="226" t="s">
        <v>252</v>
      </c>
      <c r="D17" s="227"/>
      <c r="E17" s="228"/>
    </row>
    <row r="18" ht="33.5" customHeight="1" spans="2:5">
      <c r="B18" s="229" t="s">
        <v>253</v>
      </c>
      <c r="C18" s="230">
        <v>0.3754</v>
      </c>
      <c r="D18" s="231"/>
      <c r="E18" s="232"/>
    </row>
    <row r="19" ht="15.75" spans="2:5">
      <c r="B19" s="229" t="s">
        <v>254</v>
      </c>
      <c r="C19" s="230">
        <v>0.3815</v>
      </c>
      <c r="D19" s="231"/>
      <c r="E19" s="232"/>
    </row>
    <row r="20" ht="15.75" spans="2:5">
      <c r="B20" s="229" t="s">
        <v>255</v>
      </c>
      <c r="C20" s="230">
        <v>0.4359</v>
      </c>
      <c r="D20" s="231"/>
      <c r="E20" s="232"/>
    </row>
    <row r="21" ht="15.75" spans="2:5">
      <c r="B21" s="229" t="s">
        <v>256</v>
      </c>
      <c r="C21" s="230">
        <v>0.4213</v>
      </c>
      <c r="D21" s="231"/>
      <c r="E21" s="232"/>
    </row>
    <row r="22" ht="14" customHeight="1" spans="2:5">
      <c r="B22" s="233" t="s">
        <v>257</v>
      </c>
      <c r="C22" s="230" t="s">
        <v>258</v>
      </c>
      <c r="D22" s="231"/>
      <c r="E22" s="232"/>
    </row>
    <row r="23" ht="14.55" customHeight="1" spans="2:5">
      <c r="B23" s="234"/>
      <c r="C23" s="230" t="s">
        <v>259</v>
      </c>
      <c r="D23" s="231"/>
      <c r="E23" s="232"/>
    </row>
    <row r="24" ht="15.75" spans="2:5">
      <c r="B24" s="229" t="s">
        <v>260</v>
      </c>
      <c r="C24" s="230">
        <v>0.3538</v>
      </c>
      <c r="D24" s="231"/>
      <c r="E24" s="232"/>
    </row>
    <row r="25" ht="14" customHeight="1" spans="2:5">
      <c r="B25" s="233" t="s">
        <v>261</v>
      </c>
      <c r="C25" s="230" t="s">
        <v>262</v>
      </c>
      <c r="D25" s="231"/>
      <c r="E25" s="232"/>
    </row>
    <row r="26" ht="14.55" customHeight="1" spans="2:5">
      <c r="B26" s="234"/>
      <c r="C26" s="230" t="s">
        <v>263</v>
      </c>
      <c r="D26" s="231"/>
      <c r="E26" s="232"/>
    </row>
    <row r="27" ht="15.75" spans="2:5">
      <c r="B27" s="229" t="s">
        <v>264</v>
      </c>
      <c r="C27" s="230">
        <v>0.3894</v>
      </c>
      <c r="D27" s="231"/>
      <c r="E27" s="232"/>
    </row>
    <row r="28" ht="33.5" customHeight="1" spans="2:5">
      <c r="B28" s="229" t="s">
        <v>265</v>
      </c>
      <c r="C28" s="230">
        <v>0.3864</v>
      </c>
      <c r="D28" s="231"/>
      <c r="E28" s="232"/>
    </row>
    <row r="29" ht="15.75" spans="2:5">
      <c r="B29" s="229" t="s">
        <v>266</v>
      </c>
      <c r="C29" s="230">
        <v>0.3863</v>
      </c>
      <c r="D29" s="231"/>
      <c r="E29" s="232"/>
    </row>
    <row r="30" ht="15.75" spans="2:5">
      <c r="B30" s="229" t="s">
        <v>267</v>
      </c>
      <c r="C30" s="230">
        <v>0.3803</v>
      </c>
      <c r="D30" s="231"/>
      <c r="E30" s="232"/>
    </row>
    <row r="31" ht="15.75" spans="2:5">
      <c r="B31" s="229" t="s">
        <v>88</v>
      </c>
      <c r="C31" s="230">
        <v>0.4416</v>
      </c>
      <c r="D31" s="231"/>
      <c r="E31" s="232"/>
    </row>
    <row r="32" ht="15.75" spans="2:5">
      <c r="B32" s="229" t="s">
        <v>268</v>
      </c>
      <c r="C32" s="230">
        <v>0.472</v>
      </c>
      <c r="D32" s="231"/>
      <c r="E32" s="232"/>
    </row>
    <row r="33" ht="15.75" spans="2:5">
      <c r="B33" s="229" t="s">
        <v>269</v>
      </c>
      <c r="C33" s="230">
        <v>0.4396</v>
      </c>
      <c r="D33" s="231"/>
      <c r="E33" s="232"/>
    </row>
    <row r="34" ht="15.75" spans="2:5">
      <c r="B34" s="229" t="s">
        <v>270</v>
      </c>
      <c r="C34" s="230">
        <v>0.3997</v>
      </c>
      <c r="D34" s="231"/>
      <c r="E34" s="232"/>
    </row>
    <row r="35" ht="33.5" customHeight="1" spans="2:5">
      <c r="B35" s="229" t="s">
        <v>271</v>
      </c>
      <c r="C35" s="230">
        <v>0.4069</v>
      </c>
      <c r="D35" s="231"/>
      <c r="E35" s="232"/>
    </row>
    <row r="36" ht="15.75" spans="2:5">
      <c r="B36" s="229" t="s">
        <v>272</v>
      </c>
      <c r="C36" s="230">
        <v>0.4096</v>
      </c>
      <c r="D36" s="231"/>
      <c r="E36" s="232"/>
    </row>
    <row r="37" ht="15.75" spans="2:5">
      <c r="B37" s="229" t="s">
        <v>273</v>
      </c>
      <c r="C37" s="230">
        <v>0.4453</v>
      </c>
      <c r="D37" s="231"/>
      <c r="E37" s="232"/>
    </row>
    <row r="38" ht="15.75" spans="2:5">
      <c r="B38" s="229" t="s">
        <v>274</v>
      </c>
      <c r="C38" s="230">
        <v>0.4194</v>
      </c>
      <c r="D38" s="231"/>
      <c r="E38" s="232"/>
    </row>
    <row r="39" ht="15.75" spans="2:5">
      <c r="B39" s="229" t="s">
        <v>275</v>
      </c>
      <c r="C39" s="230">
        <v>0.4075</v>
      </c>
      <c r="D39" s="231"/>
      <c r="E39" s="232"/>
    </row>
    <row r="40" ht="15.75" spans="2:5">
      <c r="B40" s="229" t="s">
        <v>276</v>
      </c>
      <c r="C40" s="230">
        <v>0.354</v>
      </c>
      <c r="D40" s="231"/>
      <c r="E40" s="232"/>
    </row>
    <row r="41" ht="15.75" spans="2:5">
      <c r="B41" s="229" t="s">
        <v>277</v>
      </c>
      <c r="C41" s="230">
        <v>0.2791</v>
      </c>
      <c r="D41" s="231"/>
      <c r="E41" s="232"/>
    </row>
    <row r="42" ht="15.75" spans="2:5">
      <c r="B42" s="229" t="s">
        <v>278</v>
      </c>
      <c r="C42" s="230">
        <v>0.262</v>
      </c>
      <c r="D42" s="231"/>
      <c r="E42" s="232"/>
    </row>
    <row r="43" ht="15.75" spans="2:5">
      <c r="B43" s="229" t="s">
        <v>279</v>
      </c>
      <c r="C43" s="230">
        <v>0.3289</v>
      </c>
      <c r="D43" s="231"/>
      <c r="E43" s="232"/>
    </row>
    <row r="44" ht="15.75" spans="2:5">
      <c r="B44" s="229" t="s">
        <v>280</v>
      </c>
      <c r="C44" s="230">
        <v>0.4402</v>
      </c>
      <c r="D44" s="231"/>
      <c r="E44" s="232"/>
    </row>
    <row r="45" ht="15.75" spans="2:5">
      <c r="B45" s="229" t="s">
        <v>281</v>
      </c>
      <c r="C45" s="230">
        <v>0.3709</v>
      </c>
      <c r="D45" s="231"/>
      <c r="E45" s="232"/>
    </row>
    <row r="46" ht="15.75" spans="2:5">
      <c r="B46" s="229" t="s">
        <v>282</v>
      </c>
      <c r="C46" s="230">
        <v>0.3563</v>
      </c>
      <c r="D46" s="231"/>
      <c r="E46" s="232"/>
    </row>
    <row r="47" ht="15.75" spans="2:5">
      <c r="B47" s="229" t="s">
        <v>283</v>
      </c>
      <c r="C47" s="230">
        <v>0.502</v>
      </c>
      <c r="D47" s="231"/>
      <c r="E47" s="232"/>
    </row>
    <row r="48" ht="14" customHeight="1" spans="2:5">
      <c r="B48" s="233" t="s">
        <v>284</v>
      </c>
      <c r="C48" s="230" t="s">
        <v>285</v>
      </c>
      <c r="D48" s="231"/>
      <c r="E48" s="232"/>
    </row>
    <row r="49" ht="14.55" customHeight="1" spans="2:5">
      <c r="B49" s="234"/>
      <c r="C49" s="230" t="s">
        <v>286</v>
      </c>
      <c r="D49" s="231"/>
      <c r="E49" s="232"/>
    </row>
    <row r="50" ht="15.75" spans="2:5">
      <c r="B50" s="229" t="s">
        <v>287</v>
      </c>
      <c r="C50" s="230">
        <v>0.4528</v>
      </c>
      <c r="D50" s="231"/>
      <c r="E50" s="232"/>
    </row>
  </sheetData>
  <mergeCells count="45">
    <mergeCell ref="B2:I2"/>
    <mergeCell ref="B16:I16"/>
    <mergeCell ref="C17:E17"/>
    <mergeCell ref="C18:E18"/>
    <mergeCell ref="C19:E19"/>
    <mergeCell ref="C20:E20"/>
    <mergeCell ref="C21:E21"/>
    <mergeCell ref="C22:E22"/>
    <mergeCell ref="C23:E23"/>
    <mergeCell ref="C24:E24"/>
    <mergeCell ref="C25:E25"/>
    <mergeCell ref="C26:E26"/>
    <mergeCell ref="C27:E27"/>
    <mergeCell ref="C28:E28"/>
    <mergeCell ref="C29:E29"/>
    <mergeCell ref="C30:E30"/>
    <mergeCell ref="C31:E31"/>
    <mergeCell ref="C32:E32"/>
    <mergeCell ref="C33:E33"/>
    <mergeCell ref="C34:E34"/>
    <mergeCell ref="C35:E35"/>
    <mergeCell ref="C36:E36"/>
    <mergeCell ref="C37:E37"/>
    <mergeCell ref="C38:E38"/>
    <mergeCell ref="C39:E39"/>
    <mergeCell ref="C40:E40"/>
    <mergeCell ref="C41:E41"/>
    <mergeCell ref="C42:E42"/>
    <mergeCell ref="C43:E43"/>
    <mergeCell ref="C44:E44"/>
    <mergeCell ref="C45:E45"/>
    <mergeCell ref="C46:E46"/>
    <mergeCell ref="C47:E47"/>
    <mergeCell ref="C48:E48"/>
    <mergeCell ref="C49:E49"/>
    <mergeCell ref="C50:E50"/>
    <mergeCell ref="B3:B6"/>
    <mergeCell ref="B7:B10"/>
    <mergeCell ref="B11:B14"/>
    <mergeCell ref="B22:B23"/>
    <mergeCell ref="B25:B26"/>
    <mergeCell ref="B48:B49"/>
    <mergeCell ref="C3:I6"/>
    <mergeCell ref="C7:I10"/>
    <mergeCell ref="C11:I14"/>
  </mergeCells>
  <pageMargins left="0.7" right="0.7" top="0.75" bottom="0.75" header="0.3" footer="0.3"/>
  <pageSetup paperSize="9" orientation="portrait"/>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93"/>
  <sheetViews>
    <sheetView workbookViewId="0">
      <selection activeCell="K8" sqref="K8"/>
    </sheetView>
  </sheetViews>
  <sheetFormatPr defaultColWidth="8.86666666666667" defaultRowHeight="13.5"/>
  <cols>
    <col min="1" max="1" width="13.7333333333333" style="179" customWidth="1"/>
    <col min="2" max="2" width="23.1333333333333" style="179" customWidth="1"/>
    <col min="3" max="3" width="19.4" style="179" customWidth="1"/>
    <col min="4" max="4" width="10.7333333333333" style="179" customWidth="1"/>
    <col min="5" max="5" width="11.1333333333333" style="179" customWidth="1"/>
    <col min="6" max="6" width="11.7333333333333" style="179" customWidth="1"/>
    <col min="7" max="7" width="12.4" style="179" customWidth="1"/>
    <col min="8" max="8" width="14.7333333333333" style="179" customWidth="1"/>
    <col min="9" max="9" width="39.8666666666667" style="179" customWidth="1"/>
    <col min="10" max="10" width="16.4" style="179" customWidth="1"/>
    <col min="11" max="11" width="48.8666666666667" style="179" customWidth="1"/>
    <col min="12" max="16384" width="8.86666666666667" style="179"/>
  </cols>
  <sheetData>
    <row r="1" ht="33" spans="1:11">
      <c r="A1" s="180" t="s">
        <v>288</v>
      </c>
      <c r="B1" s="181"/>
      <c r="C1" s="181"/>
      <c r="D1" s="181"/>
      <c r="E1" s="181"/>
      <c r="F1" s="181"/>
      <c r="G1" s="181"/>
      <c r="H1" s="181"/>
      <c r="I1" s="181"/>
      <c r="J1" s="210"/>
      <c r="K1" s="211" t="s">
        <v>289</v>
      </c>
    </row>
    <row r="2" ht="18" spans="1:10">
      <c r="A2" s="182" t="s">
        <v>290</v>
      </c>
      <c r="B2" s="183" t="s">
        <v>291</v>
      </c>
      <c r="C2" s="184"/>
      <c r="D2" s="184"/>
      <c r="E2" s="184"/>
      <c r="F2" s="184"/>
      <c r="G2" s="184"/>
      <c r="H2" s="184"/>
      <c r="I2" s="184"/>
      <c r="J2" s="212"/>
    </row>
    <row r="3" ht="30" spans="1:10">
      <c r="A3" s="185" t="s">
        <v>292</v>
      </c>
      <c r="B3" s="185" t="s">
        <v>251</v>
      </c>
      <c r="C3" s="185" t="s">
        <v>293</v>
      </c>
      <c r="D3" s="186" t="s">
        <v>294</v>
      </c>
      <c r="E3" s="187" t="s">
        <v>295</v>
      </c>
      <c r="F3" s="188" t="s">
        <v>296</v>
      </c>
      <c r="G3" s="189" t="s">
        <v>297</v>
      </c>
      <c r="H3" s="190" t="s">
        <v>298</v>
      </c>
      <c r="I3" s="213" t="s">
        <v>8</v>
      </c>
      <c r="J3" s="185" t="s">
        <v>299</v>
      </c>
    </row>
    <row r="4" ht="33" spans="1:10">
      <c r="A4" s="191" t="s">
        <v>300</v>
      </c>
      <c r="B4" s="191" t="s">
        <v>301</v>
      </c>
      <c r="C4" s="192" t="s">
        <v>302</v>
      </c>
      <c r="D4" s="193"/>
      <c r="E4" s="194" t="s">
        <v>303</v>
      </c>
      <c r="F4" s="195" t="s">
        <v>304</v>
      </c>
      <c r="G4" s="196" t="s">
        <v>305</v>
      </c>
      <c r="H4" s="197" t="s">
        <v>306</v>
      </c>
      <c r="I4" s="214" t="s">
        <v>307</v>
      </c>
      <c r="J4" s="206" t="s">
        <v>308</v>
      </c>
    </row>
    <row r="5" ht="33" spans="1:10">
      <c r="A5" s="198"/>
      <c r="B5" s="198"/>
      <c r="C5" s="192" t="s">
        <v>309</v>
      </c>
      <c r="D5" s="199"/>
      <c r="E5" s="194" t="s">
        <v>303</v>
      </c>
      <c r="F5" s="195" t="s">
        <v>304</v>
      </c>
      <c r="G5" s="196" t="s">
        <v>304</v>
      </c>
      <c r="H5" s="197" t="s">
        <v>310</v>
      </c>
      <c r="I5" s="215"/>
      <c r="J5" s="216"/>
    </row>
    <row r="6" ht="16.5" spans="1:10">
      <c r="A6" s="198"/>
      <c r="B6" s="200"/>
      <c r="C6" s="201" t="s">
        <v>311</v>
      </c>
      <c r="D6" s="202"/>
      <c r="E6" s="194" t="s">
        <v>303</v>
      </c>
      <c r="F6" s="195" t="s">
        <v>304</v>
      </c>
      <c r="G6" s="196" t="s">
        <v>312</v>
      </c>
      <c r="H6" s="197" t="s">
        <v>310</v>
      </c>
      <c r="I6" s="217"/>
      <c r="J6" s="218"/>
    </row>
    <row r="7" ht="33" spans="1:10">
      <c r="A7" s="198"/>
      <c r="B7" s="191" t="s">
        <v>313</v>
      </c>
      <c r="C7" s="201" t="s">
        <v>314</v>
      </c>
      <c r="D7" s="202"/>
      <c r="E7" s="194" t="s">
        <v>303</v>
      </c>
      <c r="F7" s="195" t="s">
        <v>304</v>
      </c>
      <c r="G7" s="196" t="s">
        <v>315</v>
      </c>
      <c r="H7" s="197" t="s">
        <v>316</v>
      </c>
      <c r="I7" s="192" t="s">
        <v>317</v>
      </c>
      <c r="J7" s="201" t="s">
        <v>308</v>
      </c>
    </row>
    <row r="8" ht="115.5" spans="1:10">
      <c r="A8" s="198"/>
      <c r="B8" s="200"/>
      <c r="C8" s="201" t="s">
        <v>311</v>
      </c>
      <c r="D8" s="202" t="s">
        <v>318</v>
      </c>
      <c r="E8" s="194" t="s">
        <v>303</v>
      </c>
      <c r="F8" s="195" t="s">
        <v>304</v>
      </c>
      <c r="G8" s="196" t="s">
        <v>319</v>
      </c>
      <c r="H8" s="197" t="s">
        <v>320</v>
      </c>
      <c r="I8" s="192" t="s">
        <v>321</v>
      </c>
      <c r="J8" s="201" t="s">
        <v>308</v>
      </c>
    </row>
    <row r="9" ht="132" spans="1:10">
      <c r="A9" s="198"/>
      <c r="B9" s="198" t="s">
        <v>322</v>
      </c>
      <c r="C9" s="201" t="s">
        <v>314</v>
      </c>
      <c r="D9" s="202"/>
      <c r="E9" s="194" t="s">
        <v>303</v>
      </c>
      <c r="F9" s="195" t="s">
        <v>304</v>
      </c>
      <c r="G9" s="196" t="s">
        <v>312</v>
      </c>
      <c r="H9" s="197" t="s">
        <v>310</v>
      </c>
      <c r="I9" s="214" t="s">
        <v>323</v>
      </c>
      <c r="J9" s="206" t="s">
        <v>308</v>
      </c>
    </row>
    <row r="10" ht="66" spans="1:10">
      <c r="A10" s="198"/>
      <c r="B10" s="203" t="s">
        <v>324</v>
      </c>
      <c r="C10" s="192" t="s">
        <v>325</v>
      </c>
      <c r="D10" s="202"/>
      <c r="E10" s="194" t="s">
        <v>303</v>
      </c>
      <c r="F10" s="195" t="s">
        <v>304</v>
      </c>
      <c r="G10" s="196" t="s">
        <v>312</v>
      </c>
      <c r="H10" s="197" t="s">
        <v>310</v>
      </c>
      <c r="I10" s="214" t="s">
        <v>326</v>
      </c>
      <c r="J10" s="206"/>
    </row>
    <row r="11" ht="16.5" spans="1:10">
      <c r="A11" s="198"/>
      <c r="B11" s="191" t="s">
        <v>327</v>
      </c>
      <c r="C11" s="192" t="s">
        <v>328</v>
      </c>
      <c r="D11" s="202"/>
      <c r="E11" s="194" t="s">
        <v>303</v>
      </c>
      <c r="F11" s="195" t="s">
        <v>304</v>
      </c>
      <c r="G11" s="196" t="s">
        <v>315</v>
      </c>
      <c r="H11" s="197" t="s">
        <v>329</v>
      </c>
      <c r="I11" s="214"/>
      <c r="J11" s="206" t="s">
        <v>308</v>
      </c>
    </row>
    <row r="12" ht="16.5" spans="1:10">
      <c r="A12" s="198"/>
      <c r="B12" s="200"/>
      <c r="C12" s="192" t="s">
        <v>311</v>
      </c>
      <c r="D12" s="202" t="s">
        <v>318</v>
      </c>
      <c r="E12" s="194" t="s">
        <v>303</v>
      </c>
      <c r="F12" s="195" t="s">
        <v>304</v>
      </c>
      <c r="G12" s="196" t="s">
        <v>312</v>
      </c>
      <c r="H12" s="197" t="s">
        <v>310</v>
      </c>
      <c r="I12" s="217"/>
      <c r="J12" s="218"/>
    </row>
    <row r="13" ht="16.5" spans="1:10">
      <c r="A13" s="198"/>
      <c r="B13" s="203" t="s">
        <v>330</v>
      </c>
      <c r="C13" s="201" t="s">
        <v>331</v>
      </c>
      <c r="D13" s="193" t="s">
        <v>332</v>
      </c>
      <c r="E13" s="194" t="s">
        <v>303</v>
      </c>
      <c r="F13" s="195" t="s">
        <v>333</v>
      </c>
      <c r="G13" s="196" t="s">
        <v>312</v>
      </c>
      <c r="H13" s="197" t="s">
        <v>310</v>
      </c>
      <c r="I13" s="192" t="s">
        <v>334</v>
      </c>
      <c r="J13" s="206" t="s">
        <v>308</v>
      </c>
    </row>
    <row r="14" ht="16.5" spans="1:10">
      <c r="A14" s="198"/>
      <c r="B14" s="203"/>
      <c r="C14" s="201" t="s">
        <v>335</v>
      </c>
      <c r="D14" s="199"/>
      <c r="E14" s="194" t="s">
        <v>303</v>
      </c>
      <c r="F14" s="195" t="s">
        <v>333</v>
      </c>
      <c r="G14" s="196" t="s">
        <v>319</v>
      </c>
      <c r="H14" s="197" t="s">
        <v>320</v>
      </c>
      <c r="I14" s="192"/>
      <c r="J14" s="218"/>
    </row>
    <row r="15" ht="33" spans="1:10">
      <c r="A15" s="198"/>
      <c r="B15" s="191" t="s">
        <v>336</v>
      </c>
      <c r="C15" s="192" t="s">
        <v>337</v>
      </c>
      <c r="D15" s="202"/>
      <c r="E15" s="194" t="s">
        <v>303</v>
      </c>
      <c r="F15" s="195" t="s">
        <v>333</v>
      </c>
      <c r="G15" s="196" t="s">
        <v>304</v>
      </c>
      <c r="H15" s="197" t="s">
        <v>338</v>
      </c>
      <c r="I15" s="192" t="s">
        <v>307</v>
      </c>
      <c r="J15" s="201" t="s">
        <v>339</v>
      </c>
    </row>
    <row r="16" ht="49.5" spans="1:10">
      <c r="A16" s="198"/>
      <c r="B16" s="200"/>
      <c r="C16" s="192" t="s">
        <v>340</v>
      </c>
      <c r="D16" s="202"/>
      <c r="E16" s="194" t="s">
        <v>303</v>
      </c>
      <c r="F16" s="195" t="s">
        <v>315</v>
      </c>
      <c r="G16" s="196" t="s">
        <v>304</v>
      </c>
      <c r="H16" s="197" t="s">
        <v>329</v>
      </c>
      <c r="I16" s="192" t="s">
        <v>341</v>
      </c>
      <c r="J16" s="201" t="s">
        <v>339</v>
      </c>
    </row>
    <row r="17" ht="16.5" spans="1:10">
      <c r="A17" s="198"/>
      <c r="B17" s="191" t="s">
        <v>342</v>
      </c>
      <c r="C17" s="192" t="s">
        <v>331</v>
      </c>
      <c r="D17" s="202"/>
      <c r="E17" s="194" t="s">
        <v>303</v>
      </c>
      <c r="F17" s="195" t="s">
        <v>304</v>
      </c>
      <c r="G17" s="196" t="s">
        <v>312</v>
      </c>
      <c r="H17" s="197" t="s">
        <v>310</v>
      </c>
      <c r="I17" s="214" t="s">
        <v>343</v>
      </c>
      <c r="J17" s="206" t="s">
        <v>344</v>
      </c>
    </row>
    <row r="18" ht="16.5" spans="1:10">
      <c r="A18" s="198"/>
      <c r="B18" s="200"/>
      <c r="C18" s="192" t="s">
        <v>335</v>
      </c>
      <c r="D18" s="202"/>
      <c r="E18" s="194" t="s">
        <v>303</v>
      </c>
      <c r="F18" s="195" t="s">
        <v>304</v>
      </c>
      <c r="G18" s="196" t="s">
        <v>319</v>
      </c>
      <c r="H18" s="197" t="s">
        <v>320</v>
      </c>
      <c r="I18" s="217"/>
      <c r="J18" s="218"/>
    </row>
    <row r="19" ht="16.5" spans="1:10">
      <c r="A19" s="198"/>
      <c r="B19" s="191" t="s">
        <v>345</v>
      </c>
      <c r="C19" s="192" t="s">
        <v>346</v>
      </c>
      <c r="D19" s="202"/>
      <c r="E19" s="194" t="s">
        <v>303</v>
      </c>
      <c r="F19" s="195" t="s">
        <v>304</v>
      </c>
      <c r="G19" s="196" t="s">
        <v>305</v>
      </c>
      <c r="H19" s="197" t="s">
        <v>347</v>
      </c>
      <c r="I19" s="192"/>
      <c r="J19" s="206" t="s">
        <v>344</v>
      </c>
    </row>
    <row r="20" ht="16.5" spans="1:10">
      <c r="A20" s="198"/>
      <c r="B20" s="198"/>
      <c r="C20" s="192" t="s">
        <v>348</v>
      </c>
      <c r="D20" s="202"/>
      <c r="E20" s="194" t="s">
        <v>303</v>
      </c>
      <c r="F20" s="195" t="s">
        <v>304</v>
      </c>
      <c r="G20" s="196" t="s">
        <v>304</v>
      </c>
      <c r="H20" s="197" t="s">
        <v>338</v>
      </c>
      <c r="I20" s="192"/>
      <c r="J20" s="216"/>
    </row>
    <row r="21" ht="16.5" spans="1:10">
      <c r="A21" s="198"/>
      <c r="B21" s="198"/>
      <c r="C21" s="192" t="s">
        <v>349</v>
      </c>
      <c r="D21" s="202"/>
      <c r="E21" s="194" t="s">
        <v>303</v>
      </c>
      <c r="F21" s="195" t="s">
        <v>304</v>
      </c>
      <c r="G21" s="196" t="s">
        <v>319</v>
      </c>
      <c r="H21" s="197" t="s">
        <v>320</v>
      </c>
      <c r="I21" s="192"/>
      <c r="J21" s="216"/>
    </row>
    <row r="22" ht="16.5" spans="1:10">
      <c r="A22" s="198"/>
      <c r="B22" s="200"/>
      <c r="C22" s="192" t="s">
        <v>350</v>
      </c>
      <c r="D22" s="202"/>
      <c r="E22" s="194" t="s">
        <v>303</v>
      </c>
      <c r="F22" s="195" t="s">
        <v>304</v>
      </c>
      <c r="G22" s="196" t="s">
        <v>304</v>
      </c>
      <c r="H22" s="197" t="s">
        <v>338</v>
      </c>
      <c r="I22" s="192"/>
      <c r="J22" s="218"/>
    </row>
    <row r="23" ht="49.5" spans="1:10">
      <c r="A23" s="198"/>
      <c r="B23" s="200" t="s">
        <v>351</v>
      </c>
      <c r="C23" s="192" t="s">
        <v>352</v>
      </c>
      <c r="D23" s="202" t="s">
        <v>353</v>
      </c>
      <c r="E23" s="194" t="s">
        <v>303</v>
      </c>
      <c r="F23" s="195" t="s">
        <v>304</v>
      </c>
      <c r="G23" s="196" t="s">
        <v>304</v>
      </c>
      <c r="H23" s="197" t="s">
        <v>338</v>
      </c>
      <c r="I23" s="192" t="s">
        <v>354</v>
      </c>
      <c r="J23" s="218" t="s">
        <v>339</v>
      </c>
    </row>
    <row r="24" ht="49.5" spans="1:10">
      <c r="A24" s="198"/>
      <c r="B24" s="200" t="s">
        <v>355</v>
      </c>
      <c r="C24" s="192" t="s">
        <v>356</v>
      </c>
      <c r="D24" s="202"/>
      <c r="E24" s="194" t="s">
        <v>303</v>
      </c>
      <c r="F24" s="195" t="s">
        <v>304</v>
      </c>
      <c r="G24" s="196" t="s">
        <v>319</v>
      </c>
      <c r="H24" s="197" t="s">
        <v>320</v>
      </c>
      <c r="I24" s="192" t="s">
        <v>357</v>
      </c>
      <c r="J24" s="218" t="s">
        <v>308</v>
      </c>
    </row>
    <row r="25" ht="33" spans="1:10">
      <c r="A25" s="198"/>
      <c r="B25" s="200" t="s">
        <v>358</v>
      </c>
      <c r="C25" s="192" t="s">
        <v>359</v>
      </c>
      <c r="D25" s="202"/>
      <c r="E25" s="194" t="s">
        <v>303</v>
      </c>
      <c r="F25" s="195" t="s">
        <v>304</v>
      </c>
      <c r="G25" s="196" t="s">
        <v>304</v>
      </c>
      <c r="H25" s="197" t="s">
        <v>338</v>
      </c>
      <c r="I25" s="192"/>
      <c r="J25" s="218" t="s">
        <v>360</v>
      </c>
    </row>
    <row r="26" ht="49.5" spans="1:10">
      <c r="A26" s="198"/>
      <c r="B26" s="200" t="s">
        <v>361</v>
      </c>
      <c r="C26" s="192" t="s">
        <v>362</v>
      </c>
      <c r="D26" s="202" t="s">
        <v>363</v>
      </c>
      <c r="E26" s="194" t="s">
        <v>303</v>
      </c>
      <c r="F26" s="195" t="s">
        <v>304</v>
      </c>
      <c r="G26" s="196" t="s">
        <v>319</v>
      </c>
      <c r="H26" s="197" t="s">
        <v>320</v>
      </c>
      <c r="I26" s="192" t="s">
        <v>364</v>
      </c>
      <c r="J26" s="218"/>
    </row>
    <row r="27" ht="16.5" spans="1:10">
      <c r="A27" s="198"/>
      <c r="B27" s="191" t="s">
        <v>365</v>
      </c>
      <c r="C27" s="192" t="s">
        <v>331</v>
      </c>
      <c r="D27" s="193" t="s">
        <v>353</v>
      </c>
      <c r="E27" s="194" t="s">
        <v>303</v>
      </c>
      <c r="F27" s="195" t="s">
        <v>304</v>
      </c>
      <c r="G27" s="196" t="s">
        <v>312</v>
      </c>
      <c r="H27" s="197" t="s">
        <v>310</v>
      </c>
      <c r="I27" s="214" t="s">
        <v>366</v>
      </c>
      <c r="J27" s="206" t="s">
        <v>308</v>
      </c>
    </row>
    <row r="28" ht="16.5" spans="1:10">
      <c r="A28" s="198"/>
      <c r="B28" s="200"/>
      <c r="C28" s="192" t="s">
        <v>335</v>
      </c>
      <c r="D28" s="199"/>
      <c r="E28" s="194" t="s">
        <v>303</v>
      </c>
      <c r="F28" s="195" t="s">
        <v>304</v>
      </c>
      <c r="G28" s="196" t="s">
        <v>319</v>
      </c>
      <c r="H28" s="197" t="s">
        <v>320</v>
      </c>
      <c r="I28" s="217"/>
      <c r="J28" s="218"/>
    </row>
    <row r="29" ht="16.5" spans="1:10">
      <c r="A29" s="198"/>
      <c r="B29" s="191" t="s">
        <v>367</v>
      </c>
      <c r="C29" s="192" t="s">
        <v>368</v>
      </c>
      <c r="D29" s="193" t="s">
        <v>353</v>
      </c>
      <c r="E29" s="194" t="s">
        <v>303</v>
      </c>
      <c r="F29" s="195" t="s">
        <v>304</v>
      </c>
      <c r="G29" s="196" t="s">
        <v>319</v>
      </c>
      <c r="H29" s="197" t="s">
        <v>320</v>
      </c>
      <c r="I29" s="217"/>
      <c r="J29" s="206" t="s">
        <v>369</v>
      </c>
    </row>
    <row r="30" ht="16.5" spans="1:10">
      <c r="A30" s="198"/>
      <c r="B30" s="200"/>
      <c r="C30" s="192" t="s">
        <v>370</v>
      </c>
      <c r="D30" s="199"/>
      <c r="E30" s="194" t="s">
        <v>303</v>
      </c>
      <c r="F30" s="195" t="s">
        <v>304</v>
      </c>
      <c r="G30" s="196" t="s">
        <v>304</v>
      </c>
      <c r="H30" s="197" t="s">
        <v>338</v>
      </c>
      <c r="I30" s="217"/>
      <c r="J30" s="218"/>
    </row>
    <row r="31" ht="66" spans="1:10">
      <c r="A31" s="198"/>
      <c r="B31" s="200" t="s">
        <v>371</v>
      </c>
      <c r="C31" s="192"/>
      <c r="D31" s="202"/>
      <c r="E31" s="194" t="s">
        <v>303</v>
      </c>
      <c r="F31" s="195" t="s">
        <v>304</v>
      </c>
      <c r="G31" s="196" t="s">
        <v>304</v>
      </c>
      <c r="H31" s="197" t="s">
        <v>338</v>
      </c>
      <c r="I31" s="192" t="s">
        <v>372</v>
      </c>
      <c r="J31" s="218" t="s">
        <v>308</v>
      </c>
    </row>
    <row r="32" ht="16.5" spans="1:10">
      <c r="A32" s="198"/>
      <c r="B32" s="200" t="s">
        <v>373</v>
      </c>
      <c r="C32" s="192"/>
      <c r="D32" s="202"/>
      <c r="E32" s="194" t="s">
        <v>303</v>
      </c>
      <c r="F32" s="195" t="s">
        <v>304</v>
      </c>
      <c r="G32" s="196" t="s">
        <v>312</v>
      </c>
      <c r="H32" s="197" t="s">
        <v>310</v>
      </c>
      <c r="I32" s="192"/>
      <c r="J32" s="218"/>
    </row>
    <row r="33" ht="49.5" spans="1:10">
      <c r="A33" s="198"/>
      <c r="B33" s="200" t="s">
        <v>374</v>
      </c>
      <c r="C33" s="192" t="s">
        <v>375</v>
      </c>
      <c r="D33" s="202" t="s">
        <v>376</v>
      </c>
      <c r="E33" s="194" t="s">
        <v>303</v>
      </c>
      <c r="F33" s="195" t="s">
        <v>304</v>
      </c>
      <c r="G33" s="196" t="s">
        <v>312</v>
      </c>
      <c r="H33" s="197" t="s">
        <v>310</v>
      </c>
      <c r="I33" s="192"/>
      <c r="J33" s="218" t="s">
        <v>308</v>
      </c>
    </row>
    <row r="34" ht="16.5" spans="1:10">
      <c r="A34" s="198"/>
      <c r="B34" s="191" t="s">
        <v>377</v>
      </c>
      <c r="C34" s="192" t="s">
        <v>378</v>
      </c>
      <c r="D34" s="202" t="s">
        <v>376</v>
      </c>
      <c r="E34" s="194" t="s">
        <v>303</v>
      </c>
      <c r="F34" s="195" t="s">
        <v>304</v>
      </c>
      <c r="G34" s="196" t="s">
        <v>319</v>
      </c>
      <c r="H34" s="197" t="s">
        <v>320</v>
      </c>
      <c r="I34" s="214" t="s">
        <v>379</v>
      </c>
      <c r="J34" s="206"/>
    </row>
    <row r="35" ht="16.5" spans="1:10">
      <c r="A35" s="198"/>
      <c r="B35" s="200"/>
      <c r="C35" s="192" t="s">
        <v>325</v>
      </c>
      <c r="D35" s="202" t="s">
        <v>376</v>
      </c>
      <c r="E35" s="194" t="s">
        <v>303</v>
      </c>
      <c r="F35" s="195" t="s">
        <v>304</v>
      </c>
      <c r="G35" s="196" t="s">
        <v>305</v>
      </c>
      <c r="H35" s="197" t="s">
        <v>347</v>
      </c>
      <c r="I35" s="217"/>
      <c r="J35" s="218"/>
    </row>
    <row r="36" ht="49.5" spans="1:10">
      <c r="A36" s="198"/>
      <c r="B36" s="191" t="s">
        <v>380</v>
      </c>
      <c r="C36" s="192" t="s">
        <v>381</v>
      </c>
      <c r="D36" s="199"/>
      <c r="E36" s="194" t="s">
        <v>303</v>
      </c>
      <c r="F36" s="195" t="s">
        <v>304</v>
      </c>
      <c r="G36" s="196" t="s">
        <v>304</v>
      </c>
      <c r="H36" s="197" t="s">
        <v>338</v>
      </c>
      <c r="I36" s="217" t="s">
        <v>382</v>
      </c>
      <c r="J36" s="206" t="s">
        <v>339</v>
      </c>
    </row>
    <row r="37" ht="16.5" spans="1:10">
      <c r="A37" s="198"/>
      <c r="B37" s="200"/>
      <c r="C37" s="192" t="s">
        <v>311</v>
      </c>
      <c r="D37" s="199" t="s">
        <v>318</v>
      </c>
      <c r="E37" s="194" t="s">
        <v>303</v>
      </c>
      <c r="F37" s="195" t="s">
        <v>304</v>
      </c>
      <c r="G37" s="196" t="s">
        <v>304</v>
      </c>
      <c r="H37" s="197" t="s">
        <v>338</v>
      </c>
      <c r="I37" s="217" t="s">
        <v>383</v>
      </c>
      <c r="J37" s="218"/>
    </row>
    <row r="38" ht="49.5" spans="1:10">
      <c r="A38" s="198"/>
      <c r="B38" s="200" t="s">
        <v>384</v>
      </c>
      <c r="C38" s="192" t="s">
        <v>385</v>
      </c>
      <c r="D38" s="199"/>
      <c r="E38" s="194" t="s">
        <v>303</v>
      </c>
      <c r="F38" s="195" t="s">
        <v>304</v>
      </c>
      <c r="G38" s="196" t="s">
        <v>304</v>
      </c>
      <c r="H38" s="197" t="s">
        <v>338</v>
      </c>
      <c r="I38" s="217" t="s">
        <v>386</v>
      </c>
      <c r="J38" s="201" t="s">
        <v>387</v>
      </c>
    </row>
    <row r="39" ht="33" spans="1:10">
      <c r="A39" s="200"/>
      <c r="B39" s="203" t="s">
        <v>388</v>
      </c>
      <c r="C39" s="192" t="s">
        <v>389</v>
      </c>
      <c r="D39" s="202"/>
      <c r="E39" s="194" t="s">
        <v>303</v>
      </c>
      <c r="F39" s="195" t="s">
        <v>304</v>
      </c>
      <c r="G39" s="196" t="s">
        <v>305</v>
      </c>
      <c r="H39" s="197" t="s">
        <v>347</v>
      </c>
      <c r="I39" s="192" t="s">
        <v>307</v>
      </c>
      <c r="J39" s="201" t="s">
        <v>344</v>
      </c>
    </row>
    <row r="40" ht="82.5" spans="1:10">
      <c r="A40" s="191" t="s">
        <v>390</v>
      </c>
      <c r="B40" s="191" t="s">
        <v>391</v>
      </c>
      <c r="C40" s="204" t="s">
        <v>392</v>
      </c>
      <c r="D40" s="202" t="s">
        <v>318</v>
      </c>
      <c r="E40" s="194" t="s">
        <v>303</v>
      </c>
      <c r="F40" s="195"/>
      <c r="G40" s="196"/>
      <c r="H40" s="197" t="s">
        <v>303</v>
      </c>
      <c r="I40" s="192" t="s">
        <v>393</v>
      </c>
      <c r="J40" s="201"/>
    </row>
    <row r="41" ht="16.5" spans="1:10">
      <c r="A41" s="198"/>
      <c r="B41" s="198"/>
      <c r="C41" s="204" t="s">
        <v>394</v>
      </c>
      <c r="D41" s="202" t="s">
        <v>395</v>
      </c>
      <c r="E41" s="194" t="s">
        <v>303</v>
      </c>
      <c r="F41" s="195"/>
      <c r="G41" s="196"/>
      <c r="H41" s="197" t="s">
        <v>303</v>
      </c>
      <c r="I41" s="192" t="s">
        <v>396</v>
      </c>
      <c r="J41" s="201"/>
    </row>
    <row r="42" ht="66" spans="1:10">
      <c r="A42" s="198"/>
      <c r="B42" s="198"/>
      <c r="C42" s="204" t="s">
        <v>397</v>
      </c>
      <c r="D42" s="202" t="s">
        <v>398</v>
      </c>
      <c r="E42" s="194" t="s">
        <v>303</v>
      </c>
      <c r="F42" s="195"/>
      <c r="G42" s="196"/>
      <c r="H42" s="197" t="s">
        <v>303</v>
      </c>
      <c r="I42" s="192" t="s">
        <v>399</v>
      </c>
      <c r="J42" s="201"/>
    </row>
    <row r="43" ht="33" spans="1:10">
      <c r="A43" s="198"/>
      <c r="B43" s="200"/>
      <c r="C43" s="204" t="s">
        <v>400</v>
      </c>
      <c r="D43" s="202"/>
      <c r="E43" s="194" t="s">
        <v>303</v>
      </c>
      <c r="F43" s="195"/>
      <c r="G43" s="196" t="s">
        <v>401</v>
      </c>
      <c r="H43" s="197" t="s">
        <v>402</v>
      </c>
      <c r="I43" s="192" t="s">
        <v>403</v>
      </c>
      <c r="J43" s="201" t="s">
        <v>404</v>
      </c>
    </row>
    <row r="44" ht="16.5" spans="1:10">
      <c r="A44" s="200"/>
      <c r="B44" s="198" t="s">
        <v>405</v>
      </c>
      <c r="C44" s="204"/>
      <c r="D44" s="202"/>
      <c r="E44" s="194" t="s">
        <v>303</v>
      </c>
      <c r="F44" s="195"/>
      <c r="G44" s="196" t="s">
        <v>406</v>
      </c>
      <c r="H44" s="197" t="s">
        <v>347</v>
      </c>
      <c r="I44" s="192"/>
      <c r="J44" s="201" t="s">
        <v>407</v>
      </c>
    </row>
    <row r="45" ht="33" spans="1:10">
      <c r="A45" s="191" t="s">
        <v>408</v>
      </c>
      <c r="B45" s="205" t="s">
        <v>408</v>
      </c>
      <c r="C45" s="192" t="s">
        <v>409</v>
      </c>
      <c r="D45" s="202" t="s">
        <v>398</v>
      </c>
      <c r="E45" s="194" t="s">
        <v>303</v>
      </c>
      <c r="F45" s="195" t="s">
        <v>319</v>
      </c>
      <c r="G45" s="196"/>
      <c r="H45" s="197" t="s">
        <v>338</v>
      </c>
      <c r="I45" s="192"/>
      <c r="J45" s="206" t="s">
        <v>410</v>
      </c>
    </row>
    <row r="46" ht="33" spans="1:10">
      <c r="A46" s="198"/>
      <c r="B46" s="205"/>
      <c r="C46" s="192" t="s">
        <v>411</v>
      </c>
      <c r="D46" s="202" t="s">
        <v>395</v>
      </c>
      <c r="E46" s="194" t="s">
        <v>303</v>
      </c>
      <c r="F46" s="195" t="s">
        <v>319</v>
      </c>
      <c r="G46" s="196"/>
      <c r="H46" s="197" t="s">
        <v>338</v>
      </c>
      <c r="I46" s="192"/>
      <c r="J46" s="218"/>
    </row>
    <row r="47" ht="16.5" spans="1:10">
      <c r="A47" s="198"/>
      <c r="B47" s="191" t="s">
        <v>412</v>
      </c>
      <c r="C47" s="201"/>
      <c r="D47" s="202"/>
      <c r="E47" s="194" t="s">
        <v>303</v>
      </c>
      <c r="F47" s="195" t="s">
        <v>319</v>
      </c>
      <c r="G47" s="196" t="s">
        <v>305</v>
      </c>
      <c r="H47" s="197" t="s">
        <v>413</v>
      </c>
      <c r="I47" s="192"/>
      <c r="J47" s="218"/>
    </row>
    <row r="48" ht="16.5" spans="1:10">
      <c r="A48" s="198"/>
      <c r="B48" s="198"/>
      <c r="C48" s="192" t="s">
        <v>414</v>
      </c>
      <c r="D48" s="202"/>
      <c r="E48" s="194" t="s">
        <v>303</v>
      </c>
      <c r="F48" s="195" t="s">
        <v>319</v>
      </c>
      <c r="G48" s="196" t="s">
        <v>319</v>
      </c>
      <c r="H48" s="197" t="s">
        <v>310</v>
      </c>
      <c r="I48" s="192"/>
      <c r="J48" s="218" t="s">
        <v>339</v>
      </c>
    </row>
    <row r="49" ht="16.5" spans="1:10">
      <c r="A49" s="198"/>
      <c r="B49" s="200"/>
      <c r="C49" s="192" t="s">
        <v>415</v>
      </c>
      <c r="D49" s="202"/>
      <c r="E49" s="194" t="s">
        <v>303</v>
      </c>
      <c r="F49" s="195" t="s">
        <v>319</v>
      </c>
      <c r="G49" s="196" t="s">
        <v>304</v>
      </c>
      <c r="H49" s="197" t="s">
        <v>320</v>
      </c>
      <c r="I49" s="192"/>
      <c r="J49" s="218" t="s">
        <v>339</v>
      </c>
    </row>
    <row r="50" ht="16.5" spans="1:10">
      <c r="A50" s="198"/>
      <c r="B50" s="205" t="s">
        <v>416</v>
      </c>
      <c r="C50" s="201"/>
      <c r="D50" s="202"/>
      <c r="E50" s="194" t="s">
        <v>303</v>
      </c>
      <c r="F50" s="195" t="s">
        <v>319</v>
      </c>
      <c r="G50" s="196" t="s">
        <v>305</v>
      </c>
      <c r="H50" s="197" t="s">
        <v>413</v>
      </c>
      <c r="I50" s="192"/>
      <c r="J50" s="218" t="s">
        <v>344</v>
      </c>
    </row>
    <row r="51" ht="82.5" spans="1:10">
      <c r="A51" s="200"/>
      <c r="B51" s="205" t="s">
        <v>417</v>
      </c>
      <c r="C51" s="201"/>
      <c r="D51" s="202"/>
      <c r="E51" s="194" t="s">
        <v>303</v>
      </c>
      <c r="F51" s="195" t="s">
        <v>319</v>
      </c>
      <c r="G51" s="196"/>
      <c r="H51" s="197" t="s">
        <v>338</v>
      </c>
      <c r="I51" s="192" t="s">
        <v>418</v>
      </c>
      <c r="J51" s="218"/>
    </row>
    <row r="52" ht="49.5" spans="1:10">
      <c r="A52" s="191" t="s">
        <v>419</v>
      </c>
      <c r="B52" s="191"/>
      <c r="C52" s="192" t="s">
        <v>420</v>
      </c>
      <c r="D52" s="202"/>
      <c r="E52" s="194" t="s">
        <v>303</v>
      </c>
      <c r="F52" s="195" t="s">
        <v>421</v>
      </c>
      <c r="G52" s="196"/>
      <c r="H52" s="197" t="s">
        <v>422</v>
      </c>
      <c r="I52" s="192" t="s">
        <v>423</v>
      </c>
      <c r="J52" s="201" t="s">
        <v>424</v>
      </c>
    </row>
    <row r="53" ht="16.5" spans="1:10">
      <c r="A53" s="198"/>
      <c r="B53" s="200"/>
      <c r="C53" s="206" t="s">
        <v>425</v>
      </c>
      <c r="D53" s="202"/>
      <c r="E53" s="194"/>
      <c r="F53" s="195" t="s">
        <v>426</v>
      </c>
      <c r="G53" s="196"/>
      <c r="H53" s="197" t="s">
        <v>426</v>
      </c>
      <c r="I53" s="192"/>
      <c r="J53" s="206"/>
    </row>
    <row r="54" ht="16.5" spans="1:10">
      <c r="A54" s="198"/>
      <c r="B54" s="205" t="s">
        <v>427</v>
      </c>
      <c r="C54" s="201"/>
      <c r="D54" s="202"/>
      <c r="E54" s="194" t="s">
        <v>303</v>
      </c>
      <c r="F54" s="195" t="s">
        <v>426</v>
      </c>
      <c r="G54" s="196" t="s">
        <v>428</v>
      </c>
      <c r="H54" s="197" t="s">
        <v>429</v>
      </c>
      <c r="I54" s="192"/>
      <c r="J54" s="206"/>
    </row>
    <row r="55" ht="16.5" spans="1:10">
      <c r="A55" s="191" t="s">
        <v>430</v>
      </c>
      <c r="B55" s="191"/>
      <c r="C55" s="201" t="s">
        <v>431</v>
      </c>
      <c r="D55" s="202"/>
      <c r="E55" s="194" t="s">
        <v>303</v>
      </c>
      <c r="F55" s="195" t="s">
        <v>315</v>
      </c>
      <c r="G55" s="196"/>
      <c r="H55" s="197" t="s">
        <v>310</v>
      </c>
      <c r="I55" s="192"/>
      <c r="J55" s="206" t="s">
        <v>344</v>
      </c>
    </row>
    <row r="56" ht="16.5" spans="1:10">
      <c r="A56" s="198"/>
      <c r="B56" s="198"/>
      <c r="C56" s="201" t="s">
        <v>432</v>
      </c>
      <c r="D56" s="202"/>
      <c r="E56" s="194" t="s">
        <v>303</v>
      </c>
      <c r="F56" s="195" t="s">
        <v>406</v>
      </c>
      <c r="G56" s="196"/>
      <c r="H56" s="197" t="s">
        <v>347</v>
      </c>
      <c r="I56" s="192"/>
      <c r="J56" s="216"/>
    </row>
    <row r="57" ht="16.5" spans="1:10">
      <c r="A57" s="200"/>
      <c r="B57" s="200"/>
      <c r="C57" s="201" t="s">
        <v>425</v>
      </c>
      <c r="D57" s="202"/>
      <c r="E57" s="194"/>
      <c r="F57" s="195" t="s">
        <v>312</v>
      </c>
      <c r="G57" s="196"/>
      <c r="H57" s="197" t="s">
        <v>312</v>
      </c>
      <c r="I57" s="192"/>
      <c r="J57" s="218"/>
    </row>
    <row r="58" ht="16.5" spans="1:10">
      <c r="A58" s="191" t="s">
        <v>433</v>
      </c>
      <c r="B58" s="205" t="s">
        <v>434</v>
      </c>
      <c r="C58" s="207"/>
      <c r="D58" s="202"/>
      <c r="E58" s="194" t="s">
        <v>303</v>
      </c>
      <c r="F58" s="195" t="s">
        <v>435</v>
      </c>
      <c r="G58" s="196"/>
      <c r="H58" s="197" t="s">
        <v>436</v>
      </c>
      <c r="I58" s="192" t="s">
        <v>437</v>
      </c>
      <c r="J58" s="206"/>
    </row>
    <row r="59" ht="16.5" spans="1:10">
      <c r="A59" s="198"/>
      <c r="B59" s="208" t="s">
        <v>438</v>
      </c>
      <c r="C59" s="201" t="s">
        <v>439</v>
      </c>
      <c r="D59" s="202"/>
      <c r="E59" s="194" t="s">
        <v>303</v>
      </c>
      <c r="F59" s="195" t="s">
        <v>440</v>
      </c>
      <c r="G59" s="196"/>
      <c r="H59" s="197" t="s">
        <v>441</v>
      </c>
      <c r="I59" s="192"/>
      <c r="J59" s="216"/>
    </row>
    <row r="60" ht="16.5" spans="1:10">
      <c r="A60" s="200"/>
      <c r="B60" s="209"/>
      <c r="C60" s="192" t="s">
        <v>442</v>
      </c>
      <c r="D60" s="202"/>
      <c r="E60" s="194" t="s">
        <v>303</v>
      </c>
      <c r="F60" s="195" t="s">
        <v>443</v>
      </c>
      <c r="G60" s="196"/>
      <c r="H60" s="197" t="s">
        <v>444</v>
      </c>
      <c r="I60" s="192"/>
      <c r="J60" s="218"/>
    </row>
    <row r="61" ht="16.5" spans="1:10">
      <c r="A61" s="191" t="s">
        <v>445</v>
      </c>
      <c r="B61" s="191"/>
      <c r="C61" s="192" t="s">
        <v>446</v>
      </c>
      <c r="D61" s="202"/>
      <c r="E61" s="194" t="s">
        <v>303</v>
      </c>
      <c r="F61" s="195" t="s">
        <v>426</v>
      </c>
      <c r="G61" s="196"/>
      <c r="H61" s="197" t="s">
        <v>447</v>
      </c>
      <c r="I61" s="192" t="s">
        <v>448</v>
      </c>
      <c r="J61" s="206" t="s">
        <v>449</v>
      </c>
    </row>
    <row r="62" ht="16.5" spans="1:10">
      <c r="A62" s="198"/>
      <c r="B62" s="200"/>
      <c r="C62" s="201" t="s">
        <v>450</v>
      </c>
      <c r="D62" s="202"/>
      <c r="E62" s="194" t="s">
        <v>303</v>
      </c>
      <c r="F62" s="195" t="s">
        <v>451</v>
      </c>
      <c r="G62" s="196"/>
      <c r="H62" s="197" t="s">
        <v>452</v>
      </c>
      <c r="I62" s="192"/>
      <c r="J62" s="218"/>
    </row>
    <row r="63" ht="16.5" spans="1:10">
      <c r="A63" s="198"/>
      <c r="B63" s="200" t="s">
        <v>453</v>
      </c>
      <c r="C63" s="201"/>
      <c r="D63" s="202"/>
      <c r="E63" s="194" t="s">
        <v>303</v>
      </c>
      <c r="F63" s="195" t="s">
        <v>451</v>
      </c>
      <c r="G63" s="196" t="s">
        <v>304</v>
      </c>
      <c r="H63" s="197" t="s">
        <v>429</v>
      </c>
      <c r="I63" s="192"/>
      <c r="J63" s="218" t="s">
        <v>339</v>
      </c>
    </row>
    <row r="64" ht="82.5" spans="1:10">
      <c r="A64" s="198"/>
      <c r="B64" s="200" t="s">
        <v>454</v>
      </c>
      <c r="C64" s="201" t="s">
        <v>455</v>
      </c>
      <c r="D64" s="202"/>
      <c r="E64" s="194" t="s">
        <v>303</v>
      </c>
      <c r="F64" s="195" t="s">
        <v>451</v>
      </c>
      <c r="G64" s="196"/>
      <c r="H64" s="197" t="s">
        <v>452</v>
      </c>
      <c r="I64" s="192" t="s">
        <v>456</v>
      </c>
      <c r="J64" s="218"/>
    </row>
    <row r="65" ht="115.5" spans="1:10">
      <c r="A65" s="198"/>
      <c r="B65" s="200" t="s">
        <v>457</v>
      </c>
      <c r="C65" s="201"/>
      <c r="D65" s="202"/>
      <c r="E65" s="194" t="s">
        <v>303</v>
      </c>
      <c r="F65" s="195" t="s">
        <v>451</v>
      </c>
      <c r="G65" s="196"/>
      <c r="H65" s="197" t="s">
        <v>452</v>
      </c>
      <c r="I65" s="192" t="s">
        <v>458</v>
      </c>
      <c r="J65" s="218"/>
    </row>
    <row r="66" ht="16.5" spans="1:10">
      <c r="A66" s="198"/>
      <c r="B66" s="191" t="s">
        <v>459</v>
      </c>
      <c r="C66" s="201" t="s">
        <v>460</v>
      </c>
      <c r="D66" s="202"/>
      <c r="E66" s="194" t="s">
        <v>303</v>
      </c>
      <c r="F66" s="195">
        <v>1.15</v>
      </c>
      <c r="G66" s="196" t="s">
        <v>305</v>
      </c>
      <c r="H66" s="197" t="s">
        <v>461</v>
      </c>
      <c r="I66" s="192" t="s">
        <v>462</v>
      </c>
      <c r="J66" s="218" t="s">
        <v>339</v>
      </c>
    </row>
    <row r="67" ht="33" spans="1:10">
      <c r="A67" s="198"/>
      <c r="B67" s="200"/>
      <c r="C67" s="201" t="s">
        <v>463</v>
      </c>
      <c r="D67" s="202"/>
      <c r="E67" s="194" t="s">
        <v>303</v>
      </c>
      <c r="F67" s="195" t="s">
        <v>451</v>
      </c>
      <c r="G67" s="196" t="s">
        <v>312</v>
      </c>
      <c r="H67" s="197" t="s">
        <v>464</v>
      </c>
      <c r="I67" s="192" t="s">
        <v>465</v>
      </c>
      <c r="J67" s="218" t="s">
        <v>466</v>
      </c>
    </row>
    <row r="68" ht="16.5" spans="1:10">
      <c r="A68" s="198"/>
      <c r="B68" s="200" t="s">
        <v>467</v>
      </c>
      <c r="C68" s="201"/>
      <c r="D68" s="202"/>
      <c r="E68" s="194" t="s">
        <v>303</v>
      </c>
      <c r="F68" s="195" t="s">
        <v>451</v>
      </c>
      <c r="G68" s="196" t="s">
        <v>304</v>
      </c>
      <c r="H68" s="197" t="s">
        <v>429</v>
      </c>
      <c r="I68" s="192"/>
      <c r="J68" s="218" t="s">
        <v>339</v>
      </c>
    </row>
    <row r="69" ht="16.5" spans="1:10">
      <c r="A69" s="198"/>
      <c r="B69" s="191" t="s">
        <v>468</v>
      </c>
      <c r="C69" s="201"/>
      <c r="D69" s="202"/>
      <c r="E69" s="194" t="s">
        <v>303</v>
      </c>
      <c r="F69" s="195" t="s">
        <v>451</v>
      </c>
      <c r="G69" s="196" t="s">
        <v>304</v>
      </c>
      <c r="H69" s="197" t="s">
        <v>429</v>
      </c>
      <c r="I69" s="192" t="s">
        <v>469</v>
      </c>
      <c r="J69" s="218" t="s">
        <v>339</v>
      </c>
    </row>
    <row r="70" ht="49.5" spans="1:10">
      <c r="A70" s="198"/>
      <c r="B70" s="200"/>
      <c r="C70" s="201" t="s">
        <v>460</v>
      </c>
      <c r="D70" s="202"/>
      <c r="E70" s="194" t="s">
        <v>303</v>
      </c>
      <c r="F70" s="195" t="s">
        <v>451</v>
      </c>
      <c r="G70" s="196" t="s">
        <v>312</v>
      </c>
      <c r="H70" s="197" t="s">
        <v>464</v>
      </c>
      <c r="I70" s="192" t="s">
        <v>470</v>
      </c>
      <c r="J70" s="218" t="s">
        <v>344</v>
      </c>
    </row>
    <row r="71" ht="33" spans="1:10">
      <c r="A71" s="203" t="s">
        <v>471</v>
      </c>
      <c r="B71" s="203" t="s">
        <v>472</v>
      </c>
      <c r="C71" s="201"/>
      <c r="D71" s="202" t="s">
        <v>473</v>
      </c>
      <c r="E71" s="194" t="s">
        <v>303</v>
      </c>
      <c r="F71" s="195"/>
      <c r="G71" s="196"/>
      <c r="H71" s="197" t="s">
        <v>303</v>
      </c>
      <c r="I71" s="192" t="s">
        <v>474</v>
      </c>
      <c r="J71" s="201" t="s">
        <v>475</v>
      </c>
    </row>
    <row r="72" ht="16.5" spans="1:10">
      <c r="A72" s="203" t="s">
        <v>476</v>
      </c>
      <c r="B72" s="219" t="s">
        <v>477</v>
      </c>
      <c r="C72" s="192" t="s">
        <v>478</v>
      </c>
      <c r="D72" s="202"/>
      <c r="E72" s="194" t="s">
        <v>303</v>
      </c>
      <c r="F72" s="195" t="s">
        <v>479</v>
      </c>
      <c r="G72" s="196"/>
      <c r="H72" s="197" t="s">
        <v>461</v>
      </c>
      <c r="I72" s="192" t="s">
        <v>480</v>
      </c>
      <c r="J72" s="206" t="s">
        <v>339</v>
      </c>
    </row>
    <row r="73" ht="16.5" spans="1:10">
      <c r="A73" s="203"/>
      <c r="B73" s="209"/>
      <c r="C73" s="201" t="s">
        <v>481</v>
      </c>
      <c r="D73" s="202"/>
      <c r="E73" s="194" t="s">
        <v>303</v>
      </c>
      <c r="F73" s="195" t="s">
        <v>426</v>
      </c>
      <c r="G73" s="196"/>
      <c r="H73" s="197" t="s">
        <v>447</v>
      </c>
      <c r="I73" s="192"/>
      <c r="J73" s="218"/>
    </row>
    <row r="74" ht="16.5" spans="1:10">
      <c r="A74" s="191" t="s">
        <v>482</v>
      </c>
      <c r="B74" s="203" t="s">
        <v>483</v>
      </c>
      <c r="C74" s="201" t="s">
        <v>484</v>
      </c>
      <c r="D74" s="193" t="s">
        <v>353</v>
      </c>
      <c r="E74" s="194" t="s">
        <v>303</v>
      </c>
      <c r="F74" s="195"/>
      <c r="G74" s="196" t="s">
        <v>485</v>
      </c>
      <c r="H74" s="220" t="s">
        <v>486</v>
      </c>
      <c r="I74" s="214" t="s">
        <v>487</v>
      </c>
      <c r="J74" s="201"/>
    </row>
    <row r="75" ht="16.5" spans="1:10">
      <c r="A75" s="198"/>
      <c r="B75" s="203"/>
      <c r="C75" s="201" t="s">
        <v>488</v>
      </c>
      <c r="D75" s="199"/>
      <c r="E75" s="194" t="s">
        <v>303</v>
      </c>
      <c r="F75" s="221"/>
      <c r="G75" s="196" t="s">
        <v>428</v>
      </c>
      <c r="H75" s="197" t="s">
        <v>489</v>
      </c>
      <c r="I75" s="217"/>
      <c r="J75" s="201"/>
    </row>
    <row r="76" ht="33" spans="1:10">
      <c r="A76" s="200"/>
      <c r="B76" s="191" t="s">
        <v>490</v>
      </c>
      <c r="C76" s="201"/>
      <c r="D76" s="199" t="s">
        <v>353</v>
      </c>
      <c r="E76" s="194" t="s">
        <v>303</v>
      </c>
      <c r="F76" s="221"/>
      <c r="G76" s="196"/>
      <c r="H76" s="222" t="s">
        <v>303</v>
      </c>
      <c r="I76" s="217" t="s">
        <v>491</v>
      </c>
      <c r="J76" s="201"/>
    </row>
    <row r="77" ht="16.5" spans="1:10">
      <c r="A77" s="191" t="s">
        <v>492</v>
      </c>
      <c r="B77" s="191" t="s">
        <v>493</v>
      </c>
      <c r="C77" s="201" t="s">
        <v>494</v>
      </c>
      <c r="D77" s="199" t="s">
        <v>398</v>
      </c>
      <c r="E77" s="194" t="s">
        <v>303</v>
      </c>
      <c r="F77" s="221"/>
      <c r="G77" s="196"/>
      <c r="H77" s="222" t="s">
        <v>303</v>
      </c>
      <c r="I77" s="217"/>
      <c r="J77" s="201"/>
    </row>
    <row r="78" ht="49.5" spans="1:10">
      <c r="A78" s="198"/>
      <c r="B78" s="198"/>
      <c r="C78" s="201" t="s">
        <v>495</v>
      </c>
      <c r="D78" s="199" t="s">
        <v>496</v>
      </c>
      <c r="E78" s="194" t="s">
        <v>303</v>
      </c>
      <c r="F78" s="221"/>
      <c r="G78" s="196"/>
      <c r="H78" s="222" t="s">
        <v>303</v>
      </c>
      <c r="I78" s="192" t="s">
        <v>497</v>
      </c>
      <c r="J78" s="201"/>
    </row>
    <row r="79" ht="49.5" spans="1:10">
      <c r="A79" s="200"/>
      <c r="B79" s="200"/>
      <c r="C79" s="201"/>
      <c r="D79" s="202"/>
      <c r="E79" s="194" t="s">
        <v>303</v>
      </c>
      <c r="F79" s="195"/>
      <c r="G79" s="196" t="s">
        <v>303</v>
      </c>
      <c r="H79" s="197" t="s">
        <v>498</v>
      </c>
      <c r="I79" s="192" t="s">
        <v>499</v>
      </c>
      <c r="J79" s="201"/>
    </row>
    <row r="80" ht="49.5" spans="1:10">
      <c r="A80" s="203" t="s">
        <v>500</v>
      </c>
      <c r="B80" s="203" t="s">
        <v>501</v>
      </c>
      <c r="C80" s="201"/>
      <c r="D80" s="199" t="s">
        <v>395</v>
      </c>
      <c r="E80" s="194" t="s">
        <v>303</v>
      </c>
      <c r="F80" s="195"/>
      <c r="G80" s="196" t="s">
        <v>319</v>
      </c>
      <c r="H80" s="222" t="s">
        <v>338</v>
      </c>
      <c r="I80" s="192" t="s">
        <v>502</v>
      </c>
      <c r="J80" s="201" t="s">
        <v>503</v>
      </c>
    </row>
    <row r="81" ht="66" spans="1:10">
      <c r="A81" s="191" t="s">
        <v>504</v>
      </c>
      <c r="B81" s="191" t="s">
        <v>505</v>
      </c>
      <c r="C81" s="201" t="s">
        <v>314</v>
      </c>
      <c r="D81" s="199" t="s">
        <v>506</v>
      </c>
      <c r="E81" s="194" t="s">
        <v>303</v>
      </c>
      <c r="F81" s="195"/>
      <c r="G81" s="196" t="s">
        <v>305</v>
      </c>
      <c r="H81" s="222" t="s">
        <v>507</v>
      </c>
      <c r="I81" s="192" t="s">
        <v>508</v>
      </c>
      <c r="J81" s="218" t="s">
        <v>339</v>
      </c>
    </row>
    <row r="82" ht="16.5" spans="1:10">
      <c r="A82" s="198"/>
      <c r="B82" s="200"/>
      <c r="C82" s="192" t="s">
        <v>509</v>
      </c>
      <c r="D82" s="199" t="s">
        <v>353</v>
      </c>
      <c r="E82" s="194" t="s">
        <v>303</v>
      </c>
      <c r="F82" s="195"/>
      <c r="G82" s="196" t="s">
        <v>305</v>
      </c>
      <c r="H82" s="222" t="s">
        <v>507</v>
      </c>
      <c r="I82" s="192" t="s">
        <v>510</v>
      </c>
      <c r="J82" s="218" t="s">
        <v>339</v>
      </c>
    </row>
    <row r="83" ht="33" spans="1:10">
      <c r="A83" s="198"/>
      <c r="B83" s="191" t="s">
        <v>511</v>
      </c>
      <c r="C83" s="192" t="s">
        <v>512</v>
      </c>
      <c r="D83" s="199" t="s">
        <v>513</v>
      </c>
      <c r="E83" s="194" t="s">
        <v>303</v>
      </c>
      <c r="F83" s="195"/>
      <c r="G83" s="196"/>
      <c r="H83" s="222" t="s">
        <v>303</v>
      </c>
      <c r="I83" s="192" t="s">
        <v>514</v>
      </c>
      <c r="J83" s="218"/>
    </row>
    <row r="84" ht="16.5" spans="1:10">
      <c r="A84" s="198"/>
      <c r="B84" s="198"/>
      <c r="C84" s="192" t="s">
        <v>515</v>
      </c>
      <c r="D84" s="199"/>
      <c r="E84" s="194" t="s">
        <v>303</v>
      </c>
      <c r="F84" s="195"/>
      <c r="G84" s="196" t="s">
        <v>304</v>
      </c>
      <c r="H84" s="222" t="s">
        <v>516</v>
      </c>
      <c r="I84" s="192"/>
      <c r="J84" s="218" t="s">
        <v>344</v>
      </c>
    </row>
    <row r="85" ht="16.5" spans="1:10">
      <c r="A85" s="198"/>
      <c r="B85" s="200"/>
      <c r="C85" s="192" t="s">
        <v>517</v>
      </c>
      <c r="D85" s="199"/>
      <c r="E85" s="194" t="s">
        <v>303</v>
      </c>
      <c r="F85" s="195"/>
      <c r="G85" s="196" t="s">
        <v>312</v>
      </c>
      <c r="H85" s="222" t="s">
        <v>320</v>
      </c>
      <c r="I85" s="192"/>
      <c r="J85" s="218" t="s">
        <v>344</v>
      </c>
    </row>
    <row r="86" ht="33" spans="1:10">
      <c r="A86" s="200"/>
      <c r="B86" s="203" t="s">
        <v>518</v>
      </c>
      <c r="C86" s="201"/>
      <c r="D86" s="199" t="s">
        <v>363</v>
      </c>
      <c r="E86" s="194" t="s">
        <v>303</v>
      </c>
      <c r="F86" s="195"/>
      <c r="G86" s="196" t="s">
        <v>304</v>
      </c>
      <c r="H86" s="222" t="s">
        <v>516</v>
      </c>
      <c r="I86" s="192" t="s">
        <v>519</v>
      </c>
      <c r="J86" s="218" t="s">
        <v>407</v>
      </c>
    </row>
    <row r="87" ht="16.5" spans="1:10">
      <c r="A87" s="203" t="s">
        <v>520</v>
      </c>
      <c r="B87" s="203" t="s">
        <v>521</v>
      </c>
      <c r="C87" s="192"/>
      <c r="D87" s="202"/>
      <c r="E87" s="194" t="s">
        <v>303</v>
      </c>
      <c r="F87" s="195" t="s">
        <v>319</v>
      </c>
      <c r="G87" s="196"/>
      <c r="H87" s="197" t="s">
        <v>338</v>
      </c>
      <c r="I87" s="192"/>
      <c r="J87" s="218" t="s">
        <v>407</v>
      </c>
    </row>
    <row r="88" ht="16.5" spans="1:10">
      <c r="A88" s="191" t="s">
        <v>522</v>
      </c>
      <c r="B88" s="191" t="s">
        <v>523</v>
      </c>
      <c r="C88" s="192" t="s">
        <v>463</v>
      </c>
      <c r="D88" s="202"/>
      <c r="E88" s="194" t="s">
        <v>303</v>
      </c>
      <c r="F88" s="195" t="s">
        <v>304</v>
      </c>
      <c r="G88" s="196" t="s">
        <v>406</v>
      </c>
      <c r="H88" s="197" t="s">
        <v>347</v>
      </c>
      <c r="I88" s="214" t="s">
        <v>524</v>
      </c>
      <c r="J88" s="214" t="s">
        <v>525</v>
      </c>
    </row>
    <row r="89" ht="16.5" spans="1:10">
      <c r="A89" s="198"/>
      <c r="B89" s="200"/>
      <c r="C89" s="192" t="s">
        <v>526</v>
      </c>
      <c r="D89" s="202"/>
      <c r="E89" s="194" t="s">
        <v>303</v>
      </c>
      <c r="F89" s="195" t="s">
        <v>406</v>
      </c>
      <c r="G89" s="196" t="s">
        <v>406</v>
      </c>
      <c r="H89" s="197" t="s">
        <v>329</v>
      </c>
      <c r="I89" s="215"/>
      <c r="J89" s="218"/>
    </row>
    <row r="90" ht="16.5" spans="1:10">
      <c r="A90" s="198"/>
      <c r="B90" s="200" t="s">
        <v>527</v>
      </c>
      <c r="C90" s="192"/>
      <c r="D90" s="202"/>
      <c r="E90" s="194" t="s">
        <v>303</v>
      </c>
      <c r="F90" s="195" t="s">
        <v>528</v>
      </c>
      <c r="G90" s="196" t="s">
        <v>304</v>
      </c>
      <c r="H90" s="197" t="s">
        <v>529</v>
      </c>
      <c r="I90" s="217"/>
      <c r="J90" s="218" t="s">
        <v>407</v>
      </c>
    </row>
    <row r="91" ht="16.5" spans="1:10">
      <c r="A91" s="200"/>
      <c r="B91" s="200" t="s">
        <v>530</v>
      </c>
      <c r="C91" s="192"/>
      <c r="D91" s="202"/>
      <c r="E91" s="194" t="s">
        <v>303</v>
      </c>
      <c r="F91" s="195"/>
      <c r="G91" s="196" t="s">
        <v>406</v>
      </c>
      <c r="H91" s="197" t="s">
        <v>347</v>
      </c>
      <c r="I91" s="217"/>
      <c r="J91" s="218" t="s">
        <v>344</v>
      </c>
    </row>
    <row r="92" ht="33" spans="1:10">
      <c r="A92" s="203" t="s">
        <v>531</v>
      </c>
      <c r="B92" s="203"/>
      <c r="C92" s="192" t="s">
        <v>532</v>
      </c>
      <c r="D92" s="202"/>
      <c r="E92" s="194" t="s">
        <v>303</v>
      </c>
      <c r="F92" s="195"/>
      <c r="G92" s="196" t="s">
        <v>312</v>
      </c>
      <c r="H92" s="197" t="s">
        <v>320</v>
      </c>
      <c r="I92" s="192"/>
      <c r="J92" s="201" t="s">
        <v>344</v>
      </c>
    </row>
    <row r="93" ht="16.5" spans="1:10">
      <c r="A93" s="203" t="s">
        <v>533</v>
      </c>
      <c r="B93" s="203"/>
      <c r="C93" s="192"/>
      <c r="D93" s="202"/>
      <c r="E93" s="194" t="s">
        <v>303</v>
      </c>
      <c r="F93" s="195" t="s">
        <v>305</v>
      </c>
      <c r="G93" s="196"/>
      <c r="H93" s="197" t="s">
        <v>507</v>
      </c>
      <c r="I93" s="192"/>
      <c r="J93" s="201"/>
    </row>
  </sheetData>
  <mergeCells count="73">
    <mergeCell ref="A1:J1"/>
    <mergeCell ref="B2:J2"/>
    <mergeCell ref="A4:A39"/>
    <mergeCell ref="A40:A44"/>
    <mergeCell ref="A45:A51"/>
    <mergeCell ref="A52:A54"/>
    <mergeCell ref="A55:A57"/>
    <mergeCell ref="A58:A60"/>
    <mergeCell ref="A61:A70"/>
    <mergeCell ref="A72:A73"/>
    <mergeCell ref="A74:A76"/>
    <mergeCell ref="A77:A79"/>
    <mergeCell ref="A81:A86"/>
    <mergeCell ref="A88:A91"/>
    <mergeCell ref="B4:B6"/>
    <mergeCell ref="B7:B8"/>
    <mergeCell ref="B11:B12"/>
    <mergeCell ref="B13:B14"/>
    <mergeCell ref="B15:B16"/>
    <mergeCell ref="B17:B18"/>
    <mergeCell ref="B19:B22"/>
    <mergeCell ref="B27:B28"/>
    <mergeCell ref="B29:B30"/>
    <mergeCell ref="B34:B35"/>
    <mergeCell ref="B36:B37"/>
    <mergeCell ref="B40:B43"/>
    <mergeCell ref="B45:B46"/>
    <mergeCell ref="B47:B49"/>
    <mergeCell ref="B52:B53"/>
    <mergeCell ref="B55:B57"/>
    <mergeCell ref="B59:B60"/>
    <mergeCell ref="B61:B62"/>
    <mergeCell ref="B66:B67"/>
    <mergeCell ref="B69:B70"/>
    <mergeCell ref="B72:B73"/>
    <mergeCell ref="B74:B75"/>
    <mergeCell ref="B77:B79"/>
    <mergeCell ref="B81:B82"/>
    <mergeCell ref="B83:B85"/>
    <mergeCell ref="B88:B89"/>
    <mergeCell ref="D4:D5"/>
    <mergeCell ref="D13:D14"/>
    <mergeCell ref="D27:D28"/>
    <mergeCell ref="D29:D30"/>
    <mergeCell ref="D74:D75"/>
    <mergeCell ref="I4:I6"/>
    <mergeCell ref="I11:I12"/>
    <mergeCell ref="I13:I14"/>
    <mergeCell ref="I17:I18"/>
    <mergeCell ref="I27:I28"/>
    <mergeCell ref="I34:I35"/>
    <mergeCell ref="I45:I46"/>
    <mergeCell ref="I55:I57"/>
    <mergeCell ref="I58:I60"/>
    <mergeCell ref="I61:I62"/>
    <mergeCell ref="I72:I73"/>
    <mergeCell ref="I74:I75"/>
    <mergeCell ref="I88:I90"/>
    <mergeCell ref="J4:J6"/>
    <mergeCell ref="J11:J12"/>
    <mergeCell ref="J13:J14"/>
    <mergeCell ref="J17:J18"/>
    <mergeCell ref="J19:J22"/>
    <mergeCell ref="J27:J28"/>
    <mergeCell ref="J29:J30"/>
    <mergeCell ref="J34:J35"/>
    <mergeCell ref="J36:J37"/>
    <mergeCell ref="J45:J46"/>
    <mergeCell ref="J55:J57"/>
    <mergeCell ref="J58:J60"/>
    <mergeCell ref="J61:J62"/>
    <mergeCell ref="J72:J73"/>
    <mergeCell ref="J88:J89"/>
  </mergeCells>
  <pageMargins left="0.7" right="0.7"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204"/>
  <sheetViews>
    <sheetView workbookViewId="0">
      <selection activeCell="F24" sqref="F24"/>
    </sheetView>
  </sheetViews>
  <sheetFormatPr defaultColWidth="8.86666666666667" defaultRowHeight="13.5"/>
  <cols>
    <col min="1" max="1" width="3.13333333333333" style="140" customWidth="1"/>
    <col min="2" max="2" width="4.73333333333333" style="141" customWidth="1"/>
    <col min="3" max="3" width="4.4" style="140" customWidth="1"/>
    <col min="4" max="4" width="5.73333333333333" style="141" customWidth="1"/>
    <col min="5" max="5" width="10.4" style="142" customWidth="1"/>
    <col min="6" max="6" width="10.4" style="3" customWidth="1"/>
    <col min="7" max="7" width="9.86666666666667" style="143" customWidth="1"/>
    <col min="8" max="9" width="12.8666666666667" style="143" customWidth="1"/>
    <col min="10" max="10" width="13.2666666666667" style="144" customWidth="1"/>
    <col min="11" max="11" width="10.8666666666667" style="144" customWidth="1"/>
    <col min="12" max="12" width="12.8666666666667" style="144" customWidth="1"/>
    <col min="13" max="13" width="11.1333333333333" style="145" customWidth="1"/>
  </cols>
  <sheetData>
    <row r="1" spans="1:5">
      <c r="A1" s="145"/>
      <c r="B1" s="145"/>
      <c r="C1" s="145"/>
      <c r="D1" s="145"/>
      <c r="E1" s="1"/>
    </row>
    <row r="2" spans="1:9">
      <c r="A2" s="146" t="s">
        <v>534</v>
      </c>
      <c r="B2" s="147" t="s">
        <v>292</v>
      </c>
      <c r="C2" s="146" t="s">
        <v>535</v>
      </c>
      <c r="D2" s="148" t="s">
        <v>536</v>
      </c>
      <c r="E2" s="149" t="s">
        <v>537</v>
      </c>
      <c r="F2" s="11" t="s">
        <v>538</v>
      </c>
      <c r="G2" s="11"/>
      <c r="H2" s="150"/>
      <c r="I2" s="159"/>
    </row>
    <row r="3" spans="1:13">
      <c r="A3" s="146"/>
      <c r="B3" s="147"/>
      <c r="C3" s="146"/>
      <c r="D3" s="148"/>
      <c r="E3" s="149"/>
      <c r="F3" s="11">
        <v>2001</v>
      </c>
      <c r="G3" s="11">
        <v>2002</v>
      </c>
      <c r="H3" s="11" t="s">
        <v>539</v>
      </c>
      <c r="I3" s="11" t="s">
        <v>540</v>
      </c>
      <c r="J3" s="118"/>
      <c r="K3" s="118"/>
      <c r="L3" s="118"/>
      <c r="M3" s="8" t="s">
        <v>541</v>
      </c>
    </row>
    <row r="4" ht="27" spans="1:13">
      <c r="A4" s="146"/>
      <c r="B4" s="147"/>
      <c r="C4" s="146"/>
      <c r="D4" s="148"/>
      <c r="E4" s="149"/>
      <c r="F4" s="11"/>
      <c r="G4" s="11"/>
      <c r="H4" s="11"/>
      <c r="I4" s="11"/>
      <c r="J4" s="160" t="s">
        <v>542</v>
      </c>
      <c r="K4" s="118" t="s">
        <v>543</v>
      </c>
      <c r="L4" s="160" t="s">
        <v>544</v>
      </c>
      <c r="M4" s="8"/>
    </row>
    <row r="5" spans="1:13">
      <c r="A5" s="151">
        <v>1</v>
      </c>
      <c r="B5" s="152" t="s">
        <v>253</v>
      </c>
      <c r="C5" s="151">
        <v>1</v>
      </c>
      <c r="D5" s="152">
        <v>54511</v>
      </c>
      <c r="E5" s="153" t="s">
        <v>253</v>
      </c>
      <c r="F5" s="11">
        <v>4912.91</v>
      </c>
      <c r="G5" s="11">
        <v>4904.81</v>
      </c>
      <c r="H5" s="11">
        <f>(F5+G5)/2</f>
        <v>4908.86</v>
      </c>
      <c r="I5" s="25">
        <f>H5*J5/3.6</f>
        <v>1636.28666666667</v>
      </c>
      <c r="J5" s="161">
        <v>1.2</v>
      </c>
      <c r="K5" s="161" t="s">
        <v>545</v>
      </c>
      <c r="L5" s="161">
        <v>1777</v>
      </c>
      <c r="M5" s="162">
        <v>0.8</v>
      </c>
    </row>
    <row r="6" spans="1:13">
      <c r="A6" s="151">
        <v>2</v>
      </c>
      <c r="B6" s="152" t="s">
        <v>254</v>
      </c>
      <c r="C6" s="151">
        <v>2</v>
      </c>
      <c r="D6" s="152">
        <v>54527</v>
      </c>
      <c r="E6" s="153" t="s">
        <v>254</v>
      </c>
      <c r="F6" s="11">
        <v>5301.88</v>
      </c>
      <c r="G6" s="11">
        <v>5210.14</v>
      </c>
      <c r="H6" s="11">
        <f t="shared" ref="H6:H69" si="0">(F6+G6)/2</f>
        <v>5256.01</v>
      </c>
      <c r="I6" s="25">
        <f t="shared" ref="I6:I69" si="1">H6*J6/3.6</f>
        <v>1693.60322222222</v>
      </c>
      <c r="J6" s="161">
        <v>1.16</v>
      </c>
      <c r="K6" s="161" t="s">
        <v>546</v>
      </c>
      <c r="L6" s="161">
        <v>1656</v>
      </c>
      <c r="M6" s="162">
        <v>0.8</v>
      </c>
    </row>
    <row r="7" spans="1:13">
      <c r="A7" s="151">
        <v>3</v>
      </c>
      <c r="B7" s="152" t="s">
        <v>257</v>
      </c>
      <c r="C7" s="151">
        <v>3</v>
      </c>
      <c r="D7" s="152">
        <v>54539</v>
      </c>
      <c r="E7" s="153" t="s">
        <v>547</v>
      </c>
      <c r="F7" s="11">
        <v>4747.14</v>
      </c>
      <c r="G7" s="11">
        <v>5218.88</v>
      </c>
      <c r="H7" s="11">
        <f t="shared" si="0"/>
        <v>4983.01</v>
      </c>
      <c r="I7" s="25">
        <f t="shared" si="1"/>
        <v>1619.47825</v>
      </c>
      <c r="J7" s="163">
        <v>1.17</v>
      </c>
      <c r="K7" s="118" t="s">
        <v>548</v>
      </c>
      <c r="L7" s="132">
        <v>1669</v>
      </c>
      <c r="M7" s="162">
        <v>0.8</v>
      </c>
    </row>
    <row r="8" spans="1:13">
      <c r="A8" s="154">
        <v>4</v>
      </c>
      <c r="B8" s="152" t="s">
        <v>260</v>
      </c>
      <c r="C8" s="151">
        <v>4</v>
      </c>
      <c r="D8" s="152">
        <v>53487</v>
      </c>
      <c r="E8" s="153" t="s">
        <v>549</v>
      </c>
      <c r="F8" s="11">
        <v>5386.05</v>
      </c>
      <c r="G8" s="11">
        <v>5197</v>
      </c>
      <c r="H8" s="11">
        <f t="shared" si="0"/>
        <v>5291.525</v>
      </c>
      <c r="I8" s="25">
        <f t="shared" si="1"/>
        <v>1822.63638888889</v>
      </c>
      <c r="J8" s="161">
        <v>1.24</v>
      </c>
      <c r="K8" s="161" t="s">
        <v>550</v>
      </c>
      <c r="L8" s="161">
        <v>1937</v>
      </c>
      <c r="M8" s="162">
        <v>0.8</v>
      </c>
    </row>
    <row r="9" spans="1:13">
      <c r="A9" s="155"/>
      <c r="B9" s="152"/>
      <c r="C9" s="151">
        <v>5</v>
      </c>
      <c r="D9" s="152">
        <v>53772</v>
      </c>
      <c r="E9" s="153" t="s">
        <v>551</v>
      </c>
      <c r="F9" s="11">
        <v>5137.8</v>
      </c>
      <c r="G9" s="11">
        <v>4998.93</v>
      </c>
      <c r="H9" s="11">
        <f t="shared" si="0"/>
        <v>5068.365</v>
      </c>
      <c r="I9" s="25">
        <f t="shared" si="1"/>
        <v>1661.29741666667</v>
      </c>
      <c r="J9" s="161">
        <v>1.18</v>
      </c>
      <c r="K9" s="161" t="s">
        <v>552</v>
      </c>
      <c r="L9" s="161">
        <v>1752</v>
      </c>
      <c r="M9" s="162">
        <v>0.8</v>
      </c>
    </row>
    <row r="10" spans="1:13">
      <c r="A10" s="156"/>
      <c r="B10" s="152"/>
      <c r="C10" s="151">
        <v>6</v>
      </c>
      <c r="D10" s="152">
        <v>53963</v>
      </c>
      <c r="E10" s="153" t="s">
        <v>553</v>
      </c>
      <c r="F10" s="11">
        <v>4666.71</v>
      </c>
      <c r="G10" s="11">
        <v>4773.3</v>
      </c>
      <c r="H10" s="11">
        <f t="shared" si="0"/>
        <v>4720.005</v>
      </c>
      <c r="I10" s="25">
        <f t="shared" si="1"/>
        <v>1494.66825</v>
      </c>
      <c r="J10" s="161">
        <v>1.14</v>
      </c>
      <c r="K10" s="161" t="s">
        <v>548</v>
      </c>
      <c r="L10" s="161">
        <v>1495</v>
      </c>
      <c r="M10" s="162">
        <v>0.8</v>
      </c>
    </row>
    <row r="11" spans="1:13">
      <c r="A11" s="154">
        <v>5</v>
      </c>
      <c r="B11" s="157" t="s">
        <v>261</v>
      </c>
      <c r="C11" s="151">
        <v>7</v>
      </c>
      <c r="D11" s="152">
        <v>50527</v>
      </c>
      <c r="E11" s="153" t="s">
        <v>554</v>
      </c>
      <c r="F11" s="11">
        <v>4952.63</v>
      </c>
      <c r="G11" s="11">
        <v>4927.39</v>
      </c>
      <c r="H11" s="11">
        <f t="shared" si="0"/>
        <v>4940.01</v>
      </c>
      <c r="I11" s="25">
        <f t="shared" si="1"/>
        <v>1893.6705</v>
      </c>
      <c r="J11" s="161">
        <v>1.38</v>
      </c>
      <c r="K11" s="161" t="s">
        <v>555</v>
      </c>
      <c r="L11" s="161">
        <v>1961</v>
      </c>
      <c r="M11" s="162">
        <v>0.8</v>
      </c>
    </row>
    <row r="12" spans="1:13">
      <c r="A12" s="155"/>
      <c r="B12" s="157"/>
      <c r="C12" s="151">
        <v>8</v>
      </c>
      <c r="D12" s="152">
        <v>50834</v>
      </c>
      <c r="E12" s="153" t="s">
        <v>556</v>
      </c>
      <c r="F12" s="11">
        <v>5399.25</v>
      </c>
      <c r="G12" s="11">
        <v>5282.11</v>
      </c>
      <c r="H12" s="11">
        <f t="shared" si="0"/>
        <v>5340.68</v>
      </c>
      <c r="I12" s="25">
        <f t="shared" si="1"/>
        <v>2017.59022222222</v>
      </c>
      <c r="J12" s="161">
        <v>1.36</v>
      </c>
      <c r="K12" s="161" t="s">
        <v>555</v>
      </c>
      <c r="L12" s="161">
        <v>2036</v>
      </c>
      <c r="M12" s="162">
        <v>0.8</v>
      </c>
    </row>
    <row r="13" spans="1:13">
      <c r="A13" s="155"/>
      <c r="B13" s="157"/>
      <c r="C13" s="151">
        <v>9</v>
      </c>
      <c r="D13" s="152">
        <v>52267</v>
      </c>
      <c r="E13" s="153" t="s">
        <v>557</v>
      </c>
      <c r="F13" s="11">
        <v>6673.89</v>
      </c>
      <c r="G13" s="11">
        <v>6530.1</v>
      </c>
      <c r="H13" s="11">
        <f t="shared" si="0"/>
        <v>6601.995</v>
      </c>
      <c r="I13" s="25">
        <f t="shared" si="1"/>
        <v>2347.376</v>
      </c>
      <c r="J13" s="161">
        <v>1.28</v>
      </c>
      <c r="K13" s="161" t="s">
        <v>558</v>
      </c>
      <c r="L13" s="161">
        <v>2311</v>
      </c>
      <c r="M13" s="162">
        <v>0.8</v>
      </c>
    </row>
    <row r="14" spans="1:13">
      <c r="A14" s="155"/>
      <c r="B14" s="157"/>
      <c r="C14" s="151">
        <v>10</v>
      </c>
      <c r="D14" s="152">
        <v>53068</v>
      </c>
      <c r="E14" s="153" t="s">
        <v>559</v>
      </c>
      <c r="F14" s="11">
        <v>6354.59</v>
      </c>
      <c r="G14" s="11">
        <v>6210.84</v>
      </c>
      <c r="H14" s="11">
        <f t="shared" si="0"/>
        <v>6282.715</v>
      </c>
      <c r="I14" s="25">
        <f t="shared" si="1"/>
        <v>2111.69031944444</v>
      </c>
      <c r="J14" s="161">
        <v>1.21</v>
      </c>
      <c r="K14" s="161" t="s">
        <v>545</v>
      </c>
      <c r="L14" s="161">
        <v>1515</v>
      </c>
      <c r="M14" s="162">
        <v>0.8</v>
      </c>
    </row>
    <row r="15" spans="1:13">
      <c r="A15" s="155"/>
      <c r="B15" s="157"/>
      <c r="C15" s="151">
        <v>11</v>
      </c>
      <c r="D15" s="152">
        <v>53336</v>
      </c>
      <c r="E15" s="153" t="s">
        <v>560</v>
      </c>
      <c r="F15" s="11">
        <v>5980.35</v>
      </c>
      <c r="G15" s="11">
        <v>6056.73</v>
      </c>
      <c r="H15" s="11">
        <f t="shared" si="0"/>
        <v>6018.54</v>
      </c>
      <c r="I15" s="25">
        <f t="shared" si="1"/>
        <v>1972.74366666667</v>
      </c>
      <c r="J15" s="161">
        <v>1.18</v>
      </c>
      <c r="K15" s="161" t="s">
        <v>561</v>
      </c>
      <c r="L15" s="161">
        <v>1721</v>
      </c>
      <c r="M15" s="162">
        <v>0.8</v>
      </c>
    </row>
    <row r="16" spans="1:13">
      <c r="A16" s="155"/>
      <c r="B16" s="157"/>
      <c r="C16" s="151">
        <v>12</v>
      </c>
      <c r="D16" s="152">
        <v>53543</v>
      </c>
      <c r="E16" s="153" t="s">
        <v>562</v>
      </c>
      <c r="F16" s="11">
        <v>5600.03</v>
      </c>
      <c r="G16" s="11">
        <v>5656.03</v>
      </c>
      <c r="H16" s="11">
        <f t="shared" si="0"/>
        <v>5628.03</v>
      </c>
      <c r="I16" s="25">
        <f t="shared" si="1"/>
        <v>1938.54366666667</v>
      </c>
      <c r="J16" s="161">
        <v>1.24</v>
      </c>
      <c r="K16" s="161" t="s">
        <v>563</v>
      </c>
      <c r="L16" s="161">
        <v>1938</v>
      </c>
      <c r="M16" s="162">
        <v>0.8</v>
      </c>
    </row>
    <row r="17" spans="1:13">
      <c r="A17" s="155"/>
      <c r="B17" s="157"/>
      <c r="C17" s="151">
        <v>13</v>
      </c>
      <c r="D17" s="152">
        <v>54102</v>
      </c>
      <c r="E17" s="153" t="s">
        <v>564</v>
      </c>
      <c r="F17" s="11">
        <v>5852.54</v>
      </c>
      <c r="G17" s="11">
        <v>5626.74</v>
      </c>
      <c r="H17" s="11">
        <f t="shared" si="0"/>
        <v>5739.64</v>
      </c>
      <c r="I17" s="25">
        <f t="shared" si="1"/>
        <v>2056.70433333333</v>
      </c>
      <c r="J17" s="161">
        <v>1.29</v>
      </c>
      <c r="K17" s="161" t="s">
        <v>558</v>
      </c>
      <c r="L17" s="161">
        <v>1962</v>
      </c>
      <c r="M17" s="162">
        <v>0.8</v>
      </c>
    </row>
    <row r="18" spans="1:13">
      <c r="A18" s="156"/>
      <c r="B18" s="157"/>
      <c r="C18" s="151">
        <v>14</v>
      </c>
      <c r="D18" s="152">
        <v>54135</v>
      </c>
      <c r="E18" s="153" t="s">
        <v>565</v>
      </c>
      <c r="F18" s="11">
        <v>5635.72</v>
      </c>
      <c r="G18" s="11">
        <v>5573.82</v>
      </c>
      <c r="H18" s="11">
        <f t="shared" si="0"/>
        <v>5604.77</v>
      </c>
      <c r="I18" s="25">
        <f t="shared" si="1"/>
        <v>1977.23830555556</v>
      </c>
      <c r="J18" s="161">
        <v>1.27</v>
      </c>
      <c r="K18" s="161" t="s">
        <v>566</v>
      </c>
      <c r="L18" s="161">
        <v>1812</v>
      </c>
      <c r="M18" s="162">
        <v>0.8</v>
      </c>
    </row>
    <row r="19" spans="1:13">
      <c r="A19" s="154">
        <v>6</v>
      </c>
      <c r="B19" s="152" t="s">
        <v>266</v>
      </c>
      <c r="C19" s="151">
        <v>15</v>
      </c>
      <c r="D19" s="152">
        <v>54324</v>
      </c>
      <c r="E19" s="153" t="s">
        <v>567</v>
      </c>
      <c r="F19" s="11">
        <v>3828.77</v>
      </c>
      <c r="G19" s="11">
        <v>5196.92</v>
      </c>
      <c r="H19" s="11">
        <f t="shared" si="0"/>
        <v>4512.845</v>
      </c>
      <c r="I19" s="25">
        <f t="shared" si="1"/>
        <v>1554.42438888889</v>
      </c>
      <c r="J19" s="161">
        <v>1.24</v>
      </c>
      <c r="K19" s="161" t="s">
        <v>550</v>
      </c>
      <c r="L19" s="161">
        <v>1795</v>
      </c>
      <c r="M19" s="162">
        <v>0.8</v>
      </c>
    </row>
    <row r="20" spans="1:13">
      <c r="A20" s="155"/>
      <c r="B20" s="152"/>
      <c r="C20" s="151">
        <v>16</v>
      </c>
      <c r="D20" s="152">
        <v>54342</v>
      </c>
      <c r="E20" s="153" t="s">
        <v>568</v>
      </c>
      <c r="F20" s="11">
        <v>4801.56</v>
      </c>
      <c r="G20" s="11">
        <v>4841.08</v>
      </c>
      <c r="H20" s="11">
        <f t="shared" si="0"/>
        <v>4821.32</v>
      </c>
      <c r="I20" s="25">
        <f t="shared" si="1"/>
        <v>1620.49922222222</v>
      </c>
      <c r="J20" s="161">
        <v>1.21</v>
      </c>
      <c r="K20" s="161" t="s">
        <v>569</v>
      </c>
      <c r="L20" s="161">
        <v>1651</v>
      </c>
      <c r="M20" s="162">
        <v>0.8</v>
      </c>
    </row>
    <row r="21" spans="1:13">
      <c r="A21" s="156"/>
      <c r="B21" s="152"/>
      <c r="C21" s="151">
        <v>17</v>
      </c>
      <c r="D21" s="152">
        <v>54662</v>
      </c>
      <c r="E21" s="153" t="s">
        <v>570</v>
      </c>
      <c r="F21" s="11">
        <v>5069.54</v>
      </c>
      <c r="G21" s="11">
        <v>5214.19</v>
      </c>
      <c r="H21" s="11">
        <f t="shared" si="0"/>
        <v>5141.865</v>
      </c>
      <c r="I21" s="25">
        <f t="shared" si="1"/>
        <v>1742.52091666667</v>
      </c>
      <c r="J21" s="161">
        <v>1.22</v>
      </c>
      <c r="K21" s="161" t="s">
        <v>550</v>
      </c>
      <c r="L21" s="161">
        <v>1906</v>
      </c>
      <c r="M21" s="162">
        <v>0.8</v>
      </c>
    </row>
    <row r="22" spans="1:13">
      <c r="A22" s="154">
        <v>7</v>
      </c>
      <c r="B22" s="152" t="s">
        <v>267</v>
      </c>
      <c r="C22" s="151">
        <v>18</v>
      </c>
      <c r="D22" s="152">
        <v>54161</v>
      </c>
      <c r="E22" s="153" t="s">
        <v>571</v>
      </c>
      <c r="F22" s="11">
        <v>5137.19</v>
      </c>
      <c r="G22" s="11">
        <v>5001.43</v>
      </c>
      <c r="H22" s="11">
        <f t="shared" si="0"/>
        <v>5069.31</v>
      </c>
      <c r="I22" s="25">
        <f t="shared" si="1"/>
        <v>1802.42133333333</v>
      </c>
      <c r="J22" s="161">
        <v>1.28</v>
      </c>
      <c r="K22" s="161" t="s">
        <v>563</v>
      </c>
      <c r="L22" s="161">
        <v>1782</v>
      </c>
      <c r="M22" s="162">
        <v>0.8</v>
      </c>
    </row>
    <row r="23" spans="1:13">
      <c r="A23" s="156"/>
      <c r="B23" s="152"/>
      <c r="C23" s="151">
        <v>19</v>
      </c>
      <c r="D23" s="152">
        <v>54292</v>
      </c>
      <c r="E23" s="153" t="s">
        <v>572</v>
      </c>
      <c r="F23" s="11">
        <v>4868.06</v>
      </c>
      <c r="G23" s="11">
        <v>4630.44</v>
      </c>
      <c r="H23" s="11">
        <f t="shared" si="0"/>
        <v>4749.25</v>
      </c>
      <c r="I23" s="25">
        <f t="shared" si="1"/>
        <v>1609.46805555556</v>
      </c>
      <c r="J23" s="161">
        <v>1.22</v>
      </c>
      <c r="K23" s="161" t="s">
        <v>545</v>
      </c>
      <c r="L23" s="161">
        <v>1680</v>
      </c>
      <c r="M23" s="162">
        <v>0.8</v>
      </c>
    </row>
    <row r="24" spans="1:13">
      <c r="A24" s="154">
        <v>8</v>
      </c>
      <c r="B24" s="157" t="s">
        <v>265</v>
      </c>
      <c r="C24" s="151">
        <v>20</v>
      </c>
      <c r="D24" s="152">
        <v>50136</v>
      </c>
      <c r="E24" s="153" t="s">
        <v>573</v>
      </c>
      <c r="F24" s="11">
        <v>4295</v>
      </c>
      <c r="G24" s="11">
        <v>4349.01</v>
      </c>
      <c r="H24" s="11">
        <f t="shared" si="0"/>
        <v>4322.005</v>
      </c>
      <c r="I24" s="25">
        <f t="shared" si="1"/>
        <v>1512.70175</v>
      </c>
      <c r="J24" s="161">
        <v>1.26</v>
      </c>
      <c r="K24" s="161" t="s">
        <v>574</v>
      </c>
      <c r="L24" s="161">
        <v>1268</v>
      </c>
      <c r="M24" s="162">
        <v>0.8</v>
      </c>
    </row>
    <row r="25" spans="1:13">
      <c r="A25" s="155"/>
      <c r="B25" s="157"/>
      <c r="C25" s="151">
        <v>21</v>
      </c>
      <c r="D25" s="152">
        <v>50468</v>
      </c>
      <c r="E25" s="153" t="s">
        <v>575</v>
      </c>
      <c r="F25" s="11">
        <v>4807.29</v>
      </c>
      <c r="G25" s="11">
        <v>4770.74</v>
      </c>
      <c r="H25" s="11">
        <f t="shared" si="0"/>
        <v>4789.015</v>
      </c>
      <c r="I25" s="25">
        <f t="shared" si="1"/>
        <v>1809.18344444445</v>
      </c>
      <c r="J25" s="161">
        <v>1.36</v>
      </c>
      <c r="K25" s="161" t="s">
        <v>576</v>
      </c>
      <c r="L25" s="161">
        <v>1786</v>
      </c>
      <c r="M25" s="162">
        <v>0.8</v>
      </c>
    </row>
    <row r="26" spans="1:13">
      <c r="A26" s="155"/>
      <c r="B26" s="157"/>
      <c r="C26" s="151">
        <v>22</v>
      </c>
      <c r="D26" s="152">
        <v>50742</v>
      </c>
      <c r="E26" s="153" t="s">
        <v>577</v>
      </c>
      <c r="F26" s="11">
        <v>5169.29</v>
      </c>
      <c r="G26" s="11">
        <v>5098.51</v>
      </c>
      <c r="H26" s="11">
        <f t="shared" si="0"/>
        <v>5133.9</v>
      </c>
      <c r="I26" s="25">
        <f t="shared" si="1"/>
        <v>1939.47333333333</v>
      </c>
      <c r="J26" s="161">
        <v>1.36</v>
      </c>
      <c r="K26" s="161" t="s">
        <v>566</v>
      </c>
      <c r="L26" s="161">
        <v>1949</v>
      </c>
      <c r="M26" s="162">
        <v>0.8</v>
      </c>
    </row>
    <row r="27" spans="1:13">
      <c r="A27" s="155"/>
      <c r="B27" s="157"/>
      <c r="C27" s="151">
        <v>23</v>
      </c>
      <c r="D27" s="152">
        <v>50873</v>
      </c>
      <c r="E27" s="153" t="s">
        <v>578</v>
      </c>
      <c r="F27" s="11">
        <v>4756.19</v>
      </c>
      <c r="G27" s="11">
        <v>4208.49</v>
      </c>
      <c r="H27" s="11">
        <f t="shared" si="0"/>
        <v>4482.34</v>
      </c>
      <c r="I27" s="25">
        <f t="shared" si="1"/>
        <v>1631.07372222222</v>
      </c>
      <c r="J27" s="161">
        <v>1.31</v>
      </c>
      <c r="K27" s="161" t="s">
        <v>566</v>
      </c>
      <c r="L27" s="161">
        <v>1644</v>
      </c>
      <c r="M27" s="162">
        <v>0.8</v>
      </c>
    </row>
    <row r="28" spans="1:13">
      <c r="A28" s="156"/>
      <c r="B28" s="157"/>
      <c r="C28" s="151">
        <v>24</v>
      </c>
      <c r="D28" s="152">
        <v>50953</v>
      </c>
      <c r="E28" s="153" t="s">
        <v>579</v>
      </c>
      <c r="F28" s="11">
        <v>4942.51</v>
      </c>
      <c r="G28" s="11">
        <v>4537.13</v>
      </c>
      <c r="H28" s="11">
        <f t="shared" si="0"/>
        <v>4739.82</v>
      </c>
      <c r="I28" s="25">
        <f t="shared" si="1"/>
        <v>1672.10316666667</v>
      </c>
      <c r="J28" s="161">
        <v>1.27</v>
      </c>
      <c r="K28" s="161" t="s">
        <v>558</v>
      </c>
      <c r="L28" s="161">
        <v>1666</v>
      </c>
      <c r="M28" s="162">
        <v>0.8</v>
      </c>
    </row>
    <row r="29" spans="1:13">
      <c r="A29" s="151">
        <v>9</v>
      </c>
      <c r="B29" s="158" t="s">
        <v>255</v>
      </c>
      <c r="C29" s="151">
        <v>25</v>
      </c>
      <c r="D29" s="152">
        <v>58362</v>
      </c>
      <c r="E29" s="153" t="s">
        <v>255</v>
      </c>
      <c r="F29" s="11">
        <v>4571.74</v>
      </c>
      <c r="G29" s="11">
        <v>3906.64</v>
      </c>
      <c r="H29" s="11">
        <f t="shared" si="0"/>
        <v>4239.19</v>
      </c>
      <c r="I29" s="25">
        <f t="shared" si="1"/>
        <v>1271.757</v>
      </c>
      <c r="J29" s="161">
        <v>1.08</v>
      </c>
      <c r="K29" s="161" t="s">
        <v>580</v>
      </c>
      <c r="L29" s="161">
        <v>1384</v>
      </c>
      <c r="M29" s="162">
        <v>0.8</v>
      </c>
    </row>
    <row r="30" spans="1:13">
      <c r="A30" s="154">
        <v>10</v>
      </c>
      <c r="B30" s="152" t="s">
        <v>272</v>
      </c>
      <c r="C30" s="151">
        <v>26</v>
      </c>
      <c r="D30" s="152">
        <v>58144</v>
      </c>
      <c r="E30" s="153" t="s">
        <v>581</v>
      </c>
      <c r="F30" s="11">
        <v>4952.24</v>
      </c>
      <c r="G30" s="11">
        <v>4800.43</v>
      </c>
      <c r="H30" s="11">
        <f t="shared" si="0"/>
        <v>4876.335</v>
      </c>
      <c r="I30" s="25">
        <f t="shared" si="1"/>
        <v>1517.082</v>
      </c>
      <c r="J30" s="161">
        <v>1.12</v>
      </c>
      <c r="K30" s="161" t="s">
        <v>582</v>
      </c>
      <c r="L30" s="161">
        <v>1774</v>
      </c>
      <c r="M30" s="162">
        <v>0.8</v>
      </c>
    </row>
    <row r="31" spans="1:13">
      <c r="A31" s="155"/>
      <c r="B31" s="152"/>
      <c r="C31" s="151">
        <v>27</v>
      </c>
      <c r="D31" s="152">
        <v>58238</v>
      </c>
      <c r="E31" s="153" t="s">
        <v>583</v>
      </c>
      <c r="F31" s="11">
        <v>4529.59</v>
      </c>
      <c r="G31" s="11">
        <v>4421.41</v>
      </c>
      <c r="H31" s="11">
        <f t="shared" si="0"/>
        <v>4475.5</v>
      </c>
      <c r="I31" s="25">
        <f t="shared" si="1"/>
        <v>1342.65</v>
      </c>
      <c r="J31" s="161">
        <v>1.08</v>
      </c>
      <c r="K31" s="161" t="s">
        <v>584</v>
      </c>
      <c r="L31" s="161">
        <v>1377</v>
      </c>
      <c r="M31" s="162">
        <v>0.8</v>
      </c>
    </row>
    <row r="32" spans="1:13">
      <c r="A32" s="156"/>
      <c r="B32" s="152"/>
      <c r="C32" s="151">
        <v>28</v>
      </c>
      <c r="D32" s="152">
        <v>58265</v>
      </c>
      <c r="E32" s="153" t="s">
        <v>585</v>
      </c>
      <c r="F32" s="11">
        <v>5211.36</v>
      </c>
      <c r="G32" s="11">
        <v>4531.19</v>
      </c>
      <c r="H32" s="11">
        <f t="shared" si="0"/>
        <v>4871.275</v>
      </c>
      <c r="I32" s="25">
        <f t="shared" si="1"/>
        <v>1461.3825</v>
      </c>
      <c r="J32" s="161">
        <v>1.08</v>
      </c>
      <c r="K32" s="161" t="s">
        <v>584</v>
      </c>
      <c r="L32" s="161">
        <v>1377</v>
      </c>
      <c r="M32" s="162">
        <v>0.8</v>
      </c>
    </row>
    <row r="33" spans="1:13">
      <c r="A33" s="154">
        <v>11</v>
      </c>
      <c r="B33" s="152" t="s">
        <v>273</v>
      </c>
      <c r="C33" s="151">
        <v>29</v>
      </c>
      <c r="D33" s="152">
        <v>58457</v>
      </c>
      <c r="E33" s="153" t="s">
        <v>586</v>
      </c>
      <c r="F33" s="11">
        <v>4267.74</v>
      </c>
      <c r="G33" s="11">
        <v>4044.85</v>
      </c>
      <c r="H33" s="11">
        <f t="shared" si="0"/>
        <v>4156.295</v>
      </c>
      <c r="I33" s="25">
        <f t="shared" si="1"/>
        <v>1223.79797222222</v>
      </c>
      <c r="J33" s="161">
        <v>1.06</v>
      </c>
      <c r="K33" s="161" t="s">
        <v>584</v>
      </c>
      <c r="L33" s="161">
        <v>1270</v>
      </c>
      <c r="M33" s="162">
        <v>0.8</v>
      </c>
    </row>
    <row r="34" spans="1:13">
      <c r="A34" s="156"/>
      <c r="B34" s="152"/>
      <c r="C34" s="151">
        <v>30</v>
      </c>
      <c r="D34" s="152">
        <v>58665</v>
      </c>
      <c r="E34" s="153" t="s">
        <v>587</v>
      </c>
      <c r="F34" s="11">
        <v>4740.9</v>
      </c>
      <c r="G34" s="11">
        <v>4630.26</v>
      </c>
      <c r="H34" s="11">
        <f t="shared" si="0"/>
        <v>4685.58</v>
      </c>
      <c r="I34" s="25">
        <f t="shared" si="1"/>
        <v>1392.6585</v>
      </c>
      <c r="J34" s="161">
        <v>1.07</v>
      </c>
      <c r="K34" s="161" t="s">
        <v>588</v>
      </c>
      <c r="L34" s="161">
        <v>1405</v>
      </c>
      <c r="M34" s="162">
        <v>0.8</v>
      </c>
    </row>
    <row r="35" spans="1:13">
      <c r="A35" s="154">
        <v>12</v>
      </c>
      <c r="B35" s="152" t="s">
        <v>271</v>
      </c>
      <c r="C35" s="151">
        <v>31</v>
      </c>
      <c r="D35" s="152">
        <v>58321</v>
      </c>
      <c r="E35" s="153" t="s">
        <v>589</v>
      </c>
      <c r="F35" s="11">
        <v>4498.69</v>
      </c>
      <c r="G35" s="11">
        <v>4300.39</v>
      </c>
      <c r="H35" s="11">
        <f t="shared" si="0"/>
        <v>4399.54</v>
      </c>
      <c r="I35" s="25">
        <f t="shared" si="1"/>
        <v>1307.64105555556</v>
      </c>
      <c r="J35" s="161">
        <v>1.07</v>
      </c>
      <c r="K35" s="161" t="s">
        <v>584</v>
      </c>
      <c r="L35" s="161">
        <v>1332</v>
      </c>
      <c r="M35" s="162">
        <v>0.8</v>
      </c>
    </row>
    <row r="36" spans="1:13">
      <c r="A36" s="156"/>
      <c r="B36" s="152"/>
      <c r="C36" s="151">
        <v>32</v>
      </c>
      <c r="D36" s="152">
        <v>58531</v>
      </c>
      <c r="E36" s="153" t="s">
        <v>590</v>
      </c>
      <c r="F36" s="11">
        <v>4574.77</v>
      </c>
      <c r="G36" s="11">
        <v>4181.43</v>
      </c>
      <c r="H36" s="11">
        <f t="shared" si="0"/>
        <v>4378.1</v>
      </c>
      <c r="I36" s="25">
        <f t="shared" si="1"/>
        <v>1313.43</v>
      </c>
      <c r="J36" s="161">
        <v>1.08</v>
      </c>
      <c r="K36" s="161" t="s">
        <v>591</v>
      </c>
      <c r="L36" s="161">
        <v>1322</v>
      </c>
      <c r="M36" s="162">
        <v>0.8</v>
      </c>
    </row>
    <row r="37" spans="1:13">
      <c r="A37" s="154">
        <v>13</v>
      </c>
      <c r="B37" s="152" t="s">
        <v>275</v>
      </c>
      <c r="C37" s="151">
        <v>33</v>
      </c>
      <c r="D37" s="152">
        <v>58737</v>
      </c>
      <c r="E37" s="153" t="s">
        <v>592</v>
      </c>
      <c r="F37" s="11">
        <v>4884.54</v>
      </c>
      <c r="G37" s="11">
        <v>4725.29</v>
      </c>
      <c r="H37" s="11">
        <f t="shared" si="0"/>
        <v>4804.915</v>
      </c>
      <c r="I37" s="25">
        <f t="shared" si="1"/>
        <v>1414.78052777778</v>
      </c>
      <c r="J37" s="161">
        <v>1.06</v>
      </c>
      <c r="K37" s="161" t="s">
        <v>593</v>
      </c>
      <c r="L37" s="161">
        <v>1298</v>
      </c>
      <c r="M37" s="162">
        <v>0.8</v>
      </c>
    </row>
    <row r="38" spans="1:13">
      <c r="A38" s="156"/>
      <c r="B38" s="152"/>
      <c r="C38" s="151">
        <v>34</v>
      </c>
      <c r="D38" s="152">
        <v>58847</v>
      </c>
      <c r="E38" s="153" t="s">
        <v>594</v>
      </c>
      <c r="F38" s="11">
        <v>4360.67</v>
      </c>
      <c r="G38" s="11">
        <v>4281.9</v>
      </c>
      <c r="H38" s="11">
        <f t="shared" si="0"/>
        <v>4321.285</v>
      </c>
      <c r="I38" s="25">
        <f t="shared" si="1"/>
        <v>1260.37479166667</v>
      </c>
      <c r="J38" s="161">
        <v>1.05</v>
      </c>
      <c r="K38" s="161" t="s">
        <v>595</v>
      </c>
      <c r="L38" s="161">
        <v>1314</v>
      </c>
      <c r="M38" s="162">
        <v>0.8</v>
      </c>
    </row>
    <row r="39" spans="1:13">
      <c r="A39" s="154">
        <v>14</v>
      </c>
      <c r="B39" s="152" t="s">
        <v>269</v>
      </c>
      <c r="C39" s="151">
        <v>35</v>
      </c>
      <c r="D39" s="152">
        <v>57993</v>
      </c>
      <c r="E39" s="153" t="s">
        <v>596</v>
      </c>
      <c r="F39" s="11">
        <v>4499.49</v>
      </c>
      <c r="G39" s="11">
        <v>4336.72</v>
      </c>
      <c r="H39" s="11">
        <f t="shared" si="0"/>
        <v>4418.105</v>
      </c>
      <c r="I39" s="25">
        <f t="shared" si="1"/>
        <v>1288.61395833333</v>
      </c>
      <c r="J39" s="161">
        <v>1.05</v>
      </c>
      <c r="K39" s="161" t="s">
        <v>593</v>
      </c>
      <c r="L39" s="161">
        <v>1362</v>
      </c>
      <c r="M39" s="162">
        <v>0.8</v>
      </c>
    </row>
    <row r="40" spans="1:13">
      <c r="A40" s="156"/>
      <c r="B40" s="152"/>
      <c r="C40" s="151">
        <v>36</v>
      </c>
      <c r="D40" s="152">
        <v>58606</v>
      </c>
      <c r="E40" s="153" t="s">
        <v>597</v>
      </c>
      <c r="F40" s="11">
        <v>4494.35</v>
      </c>
      <c r="G40" s="11">
        <v>4180.37</v>
      </c>
      <c r="H40" s="11">
        <f t="shared" si="0"/>
        <v>4337.36</v>
      </c>
      <c r="I40" s="25">
        <f t="shared" si="1"/>
        <v>1228.91866666667</v>
      </c>
      <c r="J40" s="161">
        <v>1.02</v>
      </c>
      <c r="K40" s="161" t="s">
        <v>598</v>
      </c>
      <c r="L40" s="161">
        <v>1032</v>
      </c>
      <c r="M40" s="162">
        <v>0.8</v>
      </c>
    </row>
    <row r="41" spans="1:13">
      <c r="A41" s="154">
        <v>15</v>
      </c>
      <c r="B41" s="152" t="s">
        <v>274</v>
      </c>
      <c r="C41" s="151">
        <v>37</v>
      </c>
      <c r="D41" s="152">
        <v>54764</v>
      </c>
      <c r="E41" s="153" t="s">
        <v>599</v>
      </c>
      <c r="F41" s="11">
        <v>5137.75</v>
      </c>
      <c r="G41" s="11">
        <v>5360.44</v>
      </c>
      <c r="H41" s="11">
        <f t="shared" si="0"/>
        <v>5249.095</v>
      </c>
      <c r="I41" s="25">
        <f t="shared" si="1"/>
        <v>1662.21341666667</v>
      </c>
      <c r="J41" s="161">
        <v>1.14</v>
      </c>
      <c r="K41" s="161" t="s">
        <v>552</v>
      </c>
      <c r="L41" s="161">
        <v>1566</v>
      </c>
      <c r="M41" s="162">
        <v>0.8</v>
      </c>
    </row>
    <row r="42" spans="1:13">
      <c r="A42" s="155"/>
      <c r="B42" s="152"/>
      <c r="C42" s="151">
        <v>38</v>
      </c>
      <c r="D42" s="152">
        <v>54823</v>
      </c>
      <c r="E42" s="153" t="s">
        <v>600</v>
      </c>
      <c r="F42" s="11">
        <v>4407.37</v>
      </c>
      <c r="G42" s="11">
        <v>4850.01</v>
      </c>
      <c r="H42" s="11">
        <f t="shared" si="0"/>
        <v>4628.69</v>
      </c>
      <c r="I42" s="25">
        <f t="shared" si="1"/>
        <v>1440.03688888889</v>
      </c>
      <c r="J42" s="161">
        <v>1.12</v>
      </c>
      <c r="K42" s="161" t="s">
        <v>582</v>
      </c>
      <c r="L42" s="161">
        <v>1550</v>
      </c>
      <c r="M42" s="162">
        <v>0.8</v>
      </c>
    </row>
    <row r="43" spans="1:13">
      <c r="A43" s="156"/>
      <c r="B43" s="152"/>
      <c r="C43" s="151">
        <v>39</v>
      </c>
      <c r="D43" s="152">
        <v>54936</v>
      </c>
      <c r="E43" s="153" t="s">
        <v>601</v>
      </c>
      <c r="F43" s="11">
        <v>5149.3</v>
      </c>
      <c r="G43" s="11">
        <v>5098.909</v>
      </c>
      <c r="H43" s="11">
        <f t="shared" si="0"/>
        <v>5124.1045</v>
      </c>
      <c r="I43" s="25">
        <f t="shared" si="1"/>
        <v>1579.93222083333</v>
      </c>
      <c r="J43" s="161">
        <v>1.11</v>
      </c>
      <c r="K43" s="161" t="s">
        <v>602</v>
      </c>
      <c r="L43" s="161">
        <v>1537</v>
      </c>
      <c r="M43" s="162">
        <v>0.8</v>
      </c>
    </row>
    <row r="44" spans="1:13">
      <c r="A44" s="154">
        <v>16</v>
      </c>
      <c r="B44" s="152" t="s">
        <v>270</v>
      </c>
      <c r="C44" s="151">
        <v>40</v>
      </c>
      <c r="D44" s="152">
        <v>57083</v>
      </c>
      <c r="E44" s="153" t="s">
        <v>603</v>
      </c>
      <c r="F44" s="11">
        <v>4786.64</v>
      </c>
      <c r="G44" s="11">
        <v>4755.72</v>
      </c>
      <c r="H44" s="11">
        <f t="shared" si="0"/>
        <v>4771.18</v>
      </c>
      <c r="I44" s="25">
        <f t="shared" si="1"/>
        <v>1471.11383333333</v>
      </c>
      <c r="J44" s="161">
        <v>1.11</v>
      </c>
      <c r="K44" s="161" t="s">
        <v>546</v>
      </c>
      <c r="L44" s="161">
        <v>1514</v>
      </c>
      <c r="M44" s="162">
        <v>0.8</v>
      </c>
    </row>
    <row r="45" spans="1:13">
      <c r="A45" s="155"/>
      <c r="B45" s="152"/>
      <c r="C45" s="151">
        <v>41</v>
      </c>
      <c r="D45" s="152">
        <v>57178</v>
      </c>
      <c r="E45" s="153" t="s">
        <v>604</v>
      </c>
      <c r="F45" s="11">
        <v>4590.3</v>
      </c>
      <c r="G45" s="11">
        <v>4492.28</v>
      </c>
      <c r="H45" s="11">
        <f t="shared" si="0"/>
        <v>4541.29</v>
      </c>
      <c r="I45" s="25">
        <f t="shared" si="1"/>
        <v>1362.387</v>
      </c>
      <c r="J45" s="161">
        <v>1.08</v>
      </c>
      <c r="K45" s="161" t="s">
        <v>605</v>
      </c>
      <c r="L45" s="161">
        <v>1362</v>
      </c>
      <c r="M45" s="162">
        <v>0.8</v>
      </c>
    </row>
    <row r="46" spans="1:13">
      <c r="A46" s="156"/>
      <c r="B46" s="152"/>
      <c r="C46" s="151">
        <v>42</v>
      </c>
      <c r="D46" s="152">
        <v>58208</v>
      </c>
      <c r="E46" s="153" t="s">
        <v>606</v>
      </c>
      <c r="F46" s="11">
        <v>4781.11</v>
      </c>
      <c r="G46" s="11">
        <v>4460.89</v>
      </c>
      <c r="H46" s="11">
        <f t="shared" si="0"/>
        <v>4621</v>
      </c>
      <c r="I46" s="25">
        <f t="shared" si="1"/>
        <v>1514.66111111111</v>
      </c>
      <c r="J46" s="161">
        <v>1.18</v>
      </c>
      <c r="K46" s="161" t="s">
        <v>545</v>
      </c>
      <c r="L46" s="161">
        <v>2141</v>
      </c>
      <c r="M46" s="162">
        <v>0.8</v>
      </c>
    </row>
    <row r="47" spans="1:13">
      <c r="A47" s="154">
        <v>17</v>
      </c>
      <c r="B47" s="152" t="s">
        <v>88</v>
      </c>
      <c r="C47" s="151">
        <v>43</v>
      </c>
      <c r="D47" s="152">
        <v>57461</v>
      </c>
      <c r="E47" s="153" t="s">
        <v>607</v>
      </c>
      <c r="F47" s="11">
        <v>4144.5</v>
      </c>
      <c r="G47" s="11">
        <v>4064.83</v>
      </c>
      <c r="H47" s="11">
        <f t="shared" si="0"/>
        <v>4104.665</v>
      </c>
      <c r="I47" s="25">
        <f t="shared" si="1"/>
        <v>1197.19395833333</v>
      </c>
      <c r="J47" s="161">
        <v>1.05</v>
      </c>
      <c r="K47" s="161" t="s">
        <v>608</v>
      </c>
      <c r="L47" s="161">
        <v>1175</v>
      </c>
      <c r="M47" s="162">
        <v>0.8</v>
      </c>
    </row>
    <row r="48" spans="1:13">
      <c r="A48" s="156"/>
      <c r="B48" s="152"/>
      <c r="C48" s="151">
        <v>44</v>
      </c>
      <c r="D48" s="152">
        <v>57494</v>
      </c>
      <c r="E48" s="153" t="s">
        <v>609</v>
      </c>
      <c r="F48" s="11">
        <v>4585.58</v>
      </c>
      <c r="G48" s="11">
        <v>4070.61</v>
      </c>
      <c r="H48" s="11">
        <f t="shared" si="0"/>
        <v>4328.095</v>
      </c>
      <c r="I48" s="25">
        <f t="shared" si="1"/>
        <v>1298.4285</v>
      </c>
      <c r="J48" s="161">
        <v>1.08</v>
      </c>
      <c r="K48" s="161" t="s">
        <v>610</v>
      </c>
      <c r="L48" s="161">
        <v>1574</v>
      </c>
      <c r="M48" s="162">
        <v>0.8</v>
      </c>
    </row>
    <row r="49" spans="1:13">
      <c r="A49" s="154">
        <v>18</v>
      </c>
      <c r="B49" s="152" t="s">
        <v>268</v>
      </c>
      <c r="C49" s="151">
        <v>45</v>
      </c>
      <c r="D49" s="152">
        <v>57649</v>
      </c>
      <c r="E49" s="153" t="s">
        <v>611</v>
      </c>
      <c r="F49" s="11">
        <v>3588.92</v>
      </c>
      <c r="G49" s="11">
        <v>3584.29</v>
      </c>
      <c r="H49" s="11">
        <f t="shared" si="0"/>
        <v>3586.605</v>
      </c>
      <c r="I49" s="25">
        <f t="shared" si="1"/>
        <v>1046.093125</v>
      </c>
      <c r="J49" s="161">
        <v>1.05</v>
      </c>
      <c r="K49" s="161" t="s">
        <v>612</v>
      </c>
      <c r="L49" s="161">
        <v>1264</v>
      </c>
      <c r="M49" s="162">
        <v>0.8</v>
      </c>
    </row>
    <row r="50" spans="1:13">
      <c r="A50" s="155"/>
      <c r="B50" s="152"/>
      <c r="C50" s="151">
        <v>46</v>
      </c>
      <c r="D50" s="152">
        <v>57687</v>
      </c>
      <c r="E50" s="153" t="s">
        <v>613</v>
      </c>
      <c r="F50" s="11">
        <v>4030</v>
      </c>
      <c r="G50" s="11">
        <v>3679.53</v>
      </c>
      <c r="H50" s="11">
        <f t="shared" si="0"/>
        <v>3854.765</v>
      </c>
      <c r="I50" s="25">
        <f t="shared" si="1"/>
        <v>1102.89109722222</v>
      </c>
      <c r="J50" s="161">
        <v>1.03</v>
      </c>
      <c r="K50" s="161" t="s">
        <v>614</v>
      </c>
      <c r="L50" s="161">
        <v>1131</v>
      </c>
      <c r="M50" s="162">
        <v>0.8</v>
      </c>
    </row>
    <row r="51" spans="1:13">
      <c r="A51" s="156"/>
      <c r="B51" s="152"/>
      <c r="C51" s="151">
        <v>47</v>
      </c>
      <c r="D51" s="152">
        <v>57874</v>
      </c>
      <c r="E51" s="153" t="s">
        <v>615</v>
      </c>
      <c r="F51" s="11">
        <v>4088.07</v>
      </c>
      <c r="G51" s="11">
        <v>3876.31</v>
      </c>
      <c r="H51" s="11">
        <f t="shared" si="0"/>
        <v>3982.19</v>
      </c>
      <c r="I51" s="25">
        <f t="shared" si="1"/>
        <v>1150.41044444444</v>
      </c>
      <c r="J51" s="161">
        <v>1.04</v>
      </c>
      <c r="K51" s="161" t="s">
        <v>614</v>
      </c>
      <c r="L51" s="161">
        <v>1252</v>
      </c>
      <c r="M51" s="162">
        <v>0.8</v>
      </c>
    </row>
    <row r="52" spans="1:13">
      <c r="A52" s="154">
        <v>19</v>
      </c>
      <c r="B52" s="152" t="s">
        <v>616</v>
      </c>
      <c r="C52" s="151">
        <v>48</v>
      </c>
      <c r="D52" s="152">
        <v>59287</v>
      </c>
      <c r="E52" s="153" t="s">
        <v>616</v>
      </c>
      <c r="F52" s="11">
        <v>4234.62</v>
      </c>
      <c r="G52" s="11">
        <v>4219.83</v>
      </c>
      <c r="H52" s="11">
        <f t="shared" si="0"/>
        <v>4227.225</v>
      </c>
      <c r="I52" s="25">
        <f t="shared" si="1"/>
        <v>0</v>
      </c>
      <c r="J52" s="161"/>
      <c r="K52" s="161"/>
      <c r="L52" s="161"/>
      <c r="M52" s="162">
        <v>0.8</v>
      </c>
    </row>
    <row r="53" spans="1:13">
      <c r="A53" s="156"/>
      <c r="B53" s="152"/>
      <c r="C53" s="151">
        <v>49</v>
      </c>
      <c r="D53" s="152">
        <v>59316</v>
      </c>
      <c r="E53" s="153" t="s">
        <v>617</v>
      </c>
      <c r="F53" s="11">
        <v>5245.04</v>
      </c>
      <c r="G53" s="11">
        <v>5208.8</v>
      </c>
      <c r="H53" s="11">
        <f t="shared" si="0"/>
        <v>5226.92</v>
      </c>
      <c r="I53" s="25">
        <f t="shared" si="1"/>
        <v>0</v>
      </c>
      <c r="J53" s="161"/>
      <c r="K53" s="161"/>
      <c r="L53" s="161"/>
      <c r="M53" s="162">
        <v>0.8</v>
      </c>
    </row>
    <row r="54" spans="1:13">
      <c r="A54" s="154">
        <v>20</v>
      </c>
      <c r="B54" s="152" t="s">
        <v>284</v>
      </c>
      <c r="C54" s="151">
        <v>50</v>
      </c>
      <c r="D54" s="152">
        <v>57957</v>
      </c>
      <c r="E54" s="153" t="s">
        <v>618</v>
      </c>
      <c r="F54" s="11">
        <v>4230.9</v>
      </c>
      <c r="G54" s="11">
        <v>4051.16</v>
      </c>
      <c r="H54" s="11">
        <f t="shared" si="0"/>
        <v>4141.03</v>
      </c>
      <c r="I54" s="25">
        <f t="shared" si="1"/>
        <v>0</v>
      </c>
      <c r="J54" s="161"/>
      <c r="K54" s="161"/>
      <c r="L54" s="161"/>
      <c r="M54" s="162">
        <v>0.8</v>
      </c>
    </row>
    <row r="55" spans="1:13">
      <c r="A55" s="155"/>
      <c r="B55" s="152"/>
      <c r="C55" s="151">
        <v>51</v>
      </c>
      <c r="D55" s="152">
        <v>59431</v>
      </c>
      <c r="E55" s="153" t="s">
        <v>619</v>
      </c>
      <c r="F55" s="11">
        <v>4278.2</v>
      </c>
      <c r="G55" s="11">
        <v>4375.56</v>
      </c>
      <c r="H55" s="11">
        <f t="shared" si="0"/>
        <v>4326.88</v>
      </c>
      <c r="I55" s="25">
        <f t="shared" si="1"/>
        <v>0</v>
      </c>
      <c r="J55" s="161"/>
      <c r="K55" s="161"/>
      <c r="L55" s="161"/>
      <c r="M55" s="162">
        <v>0.8</v>
      </c>
    </row>
    <row r="56" spans="1:13">
      <c r="A56" s="156"/>
      <c r="B56" s="152"/>
      <c r="C56" s="151">
        <v>52</v>
      </c>
      <c r="D56" s="152">
        <v>59644</v>
      </c>
      <c r="E56" s="153" t="s">
        <v>620</v>
      </c>
      <c r="F56" s="11">
        <v>4978.58</v>
      </c>
      <c r="G56" s="11">
        <v>4938.18</v>
      </c>
      <c r="H56" s="11">
        <f t="shared" si="0"/>
        <v>4958.38</v>
      </c>
      <c r="I56" s="25">
        <f t="shared" si="1"/>
        <v>0</v>
      </c>
      <c r="J56" s="161"/>
      <c r="K56" s="161"/>
      <c r="L56" s="161"/>
      <c r="M56" s="162">
        <v>0.8</v>
      </c>
    </row>
    <row r="57" spans="1:13">
      <c r="A57" s="154">
        <v>21</v>
      </c>
      <c r="B57" s="152" t="s">
        <v>287</v>
      </c>
      <c r="C57" s="151">
        <v>53</v>
      </c>
      <c r="D57" s="152">
        <v>59758</v>
      </c>
      <c r="E57" s="153" t="s">
        <v>621</v>
      </c>
      <c r="F57" s="11">
        <v>4858.77</v>
      </c>
      <c r="G57" s="11">
        <v>4927.24</v>
      </c>
      <c r="H57" s="11">
        <f t="shared" si="0"/>
        <v>4893.005</v>
      </c>
      <c r="I57" s="25">
        <f t="shared" si="1"/>
        <v>0</v>
      </c>
      <c r="J57" s="161"/>
      <c r="K57" s="161"/>
      <c r="L57" s="161"/>
      <c r="M57" s="162">
        <v>0.8</v>
      </c>
    </row>
    <row r="58" spans="1:13">
      <c r="A58" s="155"/>
      <c r="B58" s="152"/>
      <c r="C58" s="151">
        <v>54</v>
      </c>
      <c r="D58" s="152">
        <v>59948</v>
      </c>
      <c r="E58" s="153" t="s">
        <v>622</v>
      </c>
      <c r="F58" s="11">
        <v>5944.51</v>
      </c>
      <c r="G58" s="11">
        <v>6097.08</v>
      </c>
      <c r="H58" s="11">
        <f t="shared" si="0"/>
        <v>6020.795</v>
      </c>
      <c r="I58" s="25">
        <f t="shared" si="1"/>
        <v>0</v>
      </c>
      <c r="J58" s="161"/>
      <c r="K58" s="161"/>
      <c r="L58" s="161"/>
      <c r="M58" s="162">
        <v>0.8</v>
      </c>
    </row>
    <row r="59" spans="1:13">
      <c r="A59" s="156"/>
      <c r="B59" s="152"/>
      <c r="C59" s="151">
        <v>55</v>
      </c>
      <c r="D59" s="152">
        <v>59981</v>
      </c>
      <c r="E59" s="153" t="s">
        <v>623</v>
      </c>
      <c r="F59" s="11">
        <v>7107.54</v>
      </c>
      <c r="G59" s="11">
        <v>7024.05</v>
      </c>
      <c r="H59" s="11">
        <f t="shared" si="0"/>
        <v>7065.795</v>
      </c>
      <c r="I59" s="25">
        <f t="shared" si="1"/>
        <v>0</v>
      </c>
      <c r="J59" s="161"/>
      <c r="K59" s="161"/>
      <c r="L59" s="161"/>
      <c r="M59" s="162">
        <v>0.8</v>
      </c>
    </row>
    <row r="60" spans="1:13">
      <c r="A60" s="151">
        <v>22</v>
      </c>
      <c r="B60" s="158" t="s">
        <v>256</v>
      </c>
      <c r="C60" s="151">
        <v>56</v>
      </c>
      <c r="D60" s="152">
        <v>57516</v>
      </c>
      <c r="E60" s="153" t="s">
        <v>256</v>
      </c>
      <c r="F60" s="11">
        <v>3429.74</v>
      </c>
      <c r="G60" s="11">
        <v>3334.79</v>
      </c>
      <c r="H60" s="11">
        <f t="shared" si="0"/>
        <v>3382.265</v>
      </c>
      <c r="I60" s="25">
        <f t="shared" si="1"/>
        <v>0</v>
      </c>
      <c r="J60" s="161"/>
      <c r="K60" s="161"/>
      <c r="L60" s="161"/>
      <c r="M60" s="162">
        <v>0.8</v>
      </c>
    </row>
    <row r="61" spans="1:13">
      <c r="A61" s="154">
        <v>23</v>
      </c>
      <c r="B61" s="152" t="s">
        <v>280</v>
      </c>
      <c r="C61" s="151">
        <v>57</v>
      </c>
      <c r="D61" s="152">
        <v>56146</v>
      </c>
      <c r="E61" s="153" t="s">
        <v>624</v>
      </c>
      <c r="F61" s="11">
        <v>6501.19</v>
      </c>
      <c r="G61" s="11">
        <v>6592.57</v>
      </c>
      <c r="H61" s="11">
        <f t="shared" si="0"/>
        <v>6546.88</v>
      </c>
      <c r="I61" s="25">
        <f t="shared" si="1"/>
        <v>0</v>
      </c>
      <c r="J61" s="161"/>
      <c r="K61" s="161"/>
      <c r="L61" s="161"/>
      <c r="M61" s="162">
        <v>0.8</v>
      </c>
    </row>
    <row r="62" spans="1:13">
      <c r="A62" s="155"/>
      <c r="B62" s="152"/>
      <c r="C62" s="151">
        <v>58</v>
      </c>
      <c r="D62" s="152">
        <v>56173</v>
      </c>
      <c r="E62" s="153" t="s">
        <v>625</v>
      </c>
      <c r="F62" s="11">
        <v>5911.17</v>
      </c>
      <c r="G62" s="11">
        <v>6364.88</v>
      </c>
      <c r="H62" s="11">
        <f t="shared" si="0"/>
        <v>6138.025</v>
      </c>
      <c r="I62" s="25">
        <f t="shared" si="1"/>
        <v>0</v>
      </c>
      <c r="J62" s="161"/>
      <c r="K62" s="161"/>
      <c r="L62" s="161"/>
      <c r="M62" s="162">
        <v>0.8</v>
      </c>
    </row>
    <row r="63" spans="1:13">
      <c r="A63" s="155"/>
      <c r="B63" s="152"/>
      <c r="C63" s="151">
        <v>59</v>
      </c>
      <c r="D63" s="152">
        <v>56196</v>
      </c>
      <c r="E63" s="153" t="s">
        <v>626</v>
      </c>
      <c r="F63" s="11">
        <v>3842.03</v>
      </c>
      <c r="G63" s="11">
        <v>3842.61</v>
      </c>
      <c r="H63" s="11">
        <f t="shared" si="0"/>
        <v>3842.32</v>
      </c>
      <c r="I63" s="25">
        <f t="shared" si="1"/>
        <v>0</v>
      </c>
      <c r="J63" s="161"/>
      <c r="K63" s="161"/>
      <c r="L63" s="161"/>
      <c r="M63" s="162">
        <v>0.8</v>
      </c>
    </row>
    <row r="64" spans="1:13">
      <c r="A64" s="155"/>
      <c r="B64" s="152"/>
      <c r="C64" s="151">
        <v>60</v>
      </c>
      <c r="D64" s="152">
        <v>56294</v>
      </c>
      <c r="E64" s="153" t="s">
        <v>627</v>
      </c>
      <c r="F64" s="11">
        <v>3317.43</v>
      </c>
      <c r="G64" s="11">
        <v>3379.48</v>
      </c>
      <c r="H64" s="11">
        <f t="shared" si="0"/>
        <v>3348.455</v>
      </c>
      <c r="I64" s="25">
        <f t="shared" si="1"/>
        <v>0</v>
      </c>
      <c r="J64" s="161"/>
      <c r="K64" s="161"/>
      <c r="L64" s="161"/>
      <c r="M64" s="162">
        <v>0.8</v>
      </c>
    </row>
    <row r="65" spans="1:13">
      <c r="A65" s="155"/>
      <c r="B65" s="152"/>
      <c r="C65" s="151">
        <v>61</v>
      </c>
      <c r="D65" s="152">
        <v>56385</v>
      </c>
      <c r="E65" s="153" t="s">
        <v>628</v>
      </c>
      <c r="F65" s="11">
        <v>4856.46</v>
      </c>
      <c r="G65" s="11">
        <v>4959.09</v>
      </c>
      <c r="H65" s="11">
        <f t="shared" si="0"/>
        <v>4907.775</v>
      </c>
      <c r="I65" s="25">
        <f t="shared" si="1"/>
        <v>0</v>
      </c>
      <c r="J65" s="161"/>
      <c r="K65" s="161"/>
      <c r="L65" s="161"/>
      <c r="M65" s="162">
        <v>0.8</v>
      </c>
    </row>
    <row r="66" spans="1:13">
      <c r="A66" s="155"/>
      <c r="B66" s="152"/>
      <c r="C66" s="151">
        <v>62</v>
      </c>
      <c r="D66" s="152">
        <v>56666</v>
      </c>
      <c r="E66" s="153" t="s">
        <v>629</v>
      </c>
      <c r="F66" s="11">
        <v>5747.9</v>
      </c>
      <c r="G66" s="11">
        <v>5775.32</v>
      </c>
      <c r="H66" s="11">
        <f t="shared" si="0"/>
        <v>5761.61</v>
      </c>
      <c r="I66" s="25">
        <f t="shared" si="1"/>
        <v>0</v>
      </c>
      <c r="J66" s="161"/>
      <c r="K66" s="161"/>
      <c r="L66" s="161"/>
      <c r="M66" s="162">
        <v>0.8</v>
      </c>
    </row>
    <row r="67" spans="1:13">
      <c r="A67" s="156"/>
      <c r="B67" s="152"/>
      <c r="C67" s="151">
        <v>63</v>
      </c>
      <c r="D67" s="152">
        <v>57602</v>
      </c>
      <c r="E67" s="153" t="s">
        <v>630</v>
      </c>
      <c r="F67" s="11">
        <v>3531.79</v>
      </c>
      <c r="G67" s="11">
        <v>3559.79</v>
      </c>
      <c r="H67" s="11">
        <f t="shared" si="0"/>
        <v>3545.79</v>
      </c>
      <c r="I67" s="25">
        <f t="shared" si="1"/>
        <v>0</v>
      </c>
      <c r="J67" s="161"/>
      <c r="K67" s="161"/>
      <c r="L67" s="161"/>
      <c r="M67" s="162">
        <v>0.8</v>
      </c>
    </row>
    <row r="68" spans="1:13">
      <c r="A68" s="151">
        <v>24</v>
      </c>
      <c r="B68" s="152" t="s">
        <v>281</v>
      </c>
      <c r="C68" s="151">
        <v>64</v>
      </c>
      <c r="D68" s="152">
        <v>57816</v>
      </c>
      <c r="E68" s="153" t="s">
        <v>631</v>
      </c>
      <c r="F68" s="11">
        <v>3820.2</v>
      </c>
      <c r="G68" s="11">
        <v>4266.99</v>
      </c>
      <c r="H68" s="11">
        <f t="shared" si="0"/>
        <v>4043.595</v>
      </c>
      <c r="I68" s="25">
        <f t="shared" si="1"/>
        <v>0</v>
      </c>
      <c r="J68" s="161"/>
      <c r="K68" s="161"/>
      <c r="L68" s="161"/>
      <c r="M68" s="162">
        <v>0.8</v>
      </c>
    </row>
    <row r="69" spans="1:13">
      <c r="A69" s="154">
        <v>25</v>
      </c>
      <c r="B69" s="152" t="s">
        <v>282</v>
      </c>
      <c r="C69" s="151">
        <v>65</v>
      </c>
      <c r="D69" s="152">
        <v>56651</v>
      </c>
      <c r="E69" s="153" t="s">
        <v>632</v>
      </c>
      <c r="F69" s="11">
        <v>6344.27</v>
      </c>
      <c r="G69" s="11">
        <v>6714.84</v>
      </c>
      <c r="H69" s="11">
        <f t="shared" si="0"/>
        <v>6529.555</v>
      </c>
      <c r="I69" s="25">
        <f t="shared" si="1"/>
        <v>0</v>
      </c>
      <c r="J69" s="161"/>
      <c r="K69" s="161"/>
      <c r="L69" s="161"/>
      <c r="M69" s="162">
        <v>0.8</v>
      </c>
    </row>
    <row r="70" spans="1:13">
      <c r="A70" s="155"/>
      <c r="B70" s="152"/>
      <c r="C70" s="151">
        <v>66</v>
      </c>
      <c r="D70" s="152">
        <v>56739</v>
      </c>
      <c r="E70" s="153" t="s">
        <v>633</v>
      </c>
      <c r="F70" s="11">
        <v>5433.05</v>
      </c>
      <c r="G70" s="11">
        <v>5554.9</v>
      </c>
      <c r="H70" s="11">
        <f t="shared" ref="H70:H102" si="2">(F70+G70)/2</f>
        <v>5493.975</v>
      </c>
      <c r="I70" s="25">
        <f t="shared" ref="I70:I102" si="3">H70*J70/3.6</f>
        <v>0</v>
      </c>
      <c r="J70" s="161"/>
      <c r="K70" s="161"/>
      <c r="L70" s="161"/>
      <c r="M70" s="162">
        <v>0.8</v>
      </c>
    </row>
    <row r="71" spans="1:13">
      <c r="A71" s="155"/>
      <c r="B71" s="152"/>
      <c r="C71" s="151">
        <v>67</v>
      </c>
      <c r="D71" s="152">
        <v>56778</v>
      </c>
      <c r="E71" s="153" t="s">
        <v>634</v>
      </c>
      <c r="F71" s="11">
        <v>5306.55</v>
      </c>
      <c r="G71" s="11">
        <v>5501.95</v>
      </c>
      <c r="H71" s="11">
        <f t="shared" si="2"/>
        <v>5404.25</v>
      </c>
      <c r="I71" s="25">
        <f t="shared" si="3"/>
        <v>0</v>
      </c>
      <c r="J71" s="161"/>
      <c r="K71" s="161"/>
      <c r="L71" s="161"/>
      <c r="M71" s="162">
        <v>0.8</v>
      </c>
    </row>
    <row r="72" spans="1:13">
      <c r="A72" s="155"/>
      <c r="B72" s="152"/>
      <c r="C72" s="151">
        <v>68</v>
      </c>
      <c r="D72" s="152">
        <v>56959</v>
      </c>
      <c r="E72" s="153" t="s">
        <v>635</v>
      </c>
      <c r="F72" s="11">
        <v>5579.93</v>
      </c>
      <c r="G72" s="11">
        <v>5784.91</v>
      </c>
      <c r="H72" s="11">
        <f t="shared" si="2"/>
        <v>5682.42</v>
      </c>
      <c r="I72" s="25">
        <f t="shared" si="3"/>
        <v>0</v>
      </c>
      <c r="J72" s="161"/>
      <c r="K72" s="161"/>
      <c r="L72" s="161"/>
      <c r="M72" s="162">
        <v>0.8</v>
      </c>
    </row>
    <row r="73" spans="1:13">
      <c r="A73" s="156"/>
      <c r="B73" s="152"/>
      <c r="C73" s="151">
        <v>69</v>
      </c>
      <c r="D73" s="152">
        <v>56985</v>
      </c>
      <c r="E73" s="153" t="s">
        <v>636</v>
      </c>
      <c r="F73" s="11">
        <v>5456.75</v>
      </c>
      <c r="G73" s="11">
        <v>5333.61</v>
      </c>
      <c r="H73" s="11">
        <f t="shared" si="2"/>
        <v>5395.18</v>
      </c>
      <c r="I73" s="25">
        <f t="shared" si="3"/>
        <v>0</v>
      </c>
      <c r="J73" s="161"/>
      <c r="K73" s="161"/>
      <c r="L73" s="161"/>
      <c r="M73" s="162">
        <v>0.8</v>
      </c>
    </row>
    <row r="74" spans="1:13">
      <c r="A74" s="154">
        <v>26</v>
      </c>
      <c r="B74" s="152" t="s">
        <v>637</v>
      </c>
      <c r="C74" s="151">
        <v>70</v>
      </c>
      <c r="D74" s="152">
        <v>55228</v>
      </c>
      <c r="E74" s="153" t="s">
        <v>638</v>
      </c>
      <c r="F74" s="11">
        <v>7998.57</v>
      </c>
      <c r="G74" s="11">
        <v>8056.43</v>
      </c>
      <c r="H74" s="11">
        <f t="shared" si="2"/>
        <v>8027.5</v>
      </c>
      <c r="I74" s="25">
        <f t="shared" si="3"/>
        <v>0</v>
      </c>
      <c r="J74" s="161"/>
      <c r="K74" s="161"/>
      <c r="L74" s="161"/>
      <c r="M74" s="162">
        <v>0.8</v>
      </c>
    </row>
    <row r="75" spans="1:13">
      <c r="A75" s="155"/>
      <c r="B75" s="152"/>
      <c r="C75" s="151">
        <v>71</v>
      </c>
      <c r="D75" s="152">
        <v>55299</v>
      </c>
      <c r="E75" s="153" t="s">
        <v>639</v>
      </c>
      <c r="F75" s="11">
        <v>7374.88</v>
      </c>
      <c r="G75" s="11">
        <v>7338.18</v>
      </c>
      <c r="H75" s="11">
        <f t="shared" si="2"/>
        <v>7356.53</v>
      </c>
      <c r="I75" s="25">
        <f t="shared" si="3"/>
        <v>0</v>
      </c>
      <c r="J75" s="161"/>
      <c r="K75" s="161"/>
      <c r="L75" s="161"/>
      <c r="M75" s="162">
        <v>0.8</v>
      </c>
    </row>
    <row r="76" spans="1:13">
      <c r="A76" s="155"/>
      <c r="B76" s="152"/>
      <c r="C76" s="151">
        <v>72</v>
      </c>
      <c r="D76" s="152">
        <v>55591</v>
      </c>
      <c r="E76" s="153" t="s">
        <v>640</v>
      </c>
      <c r="F76" s="11">
        <v>7320.4</v>
      </c>
      <c r="G76" s="11">
        <v>7441.62</v>
      </c>
      <c r="H76" s="11">
        <f t="shared" si="2"/>
        <v>7381.01</v>
      </c>
      <c r="I76" s="25">
        <f t="shared" si="3"/>
        <v>0</v>
      </c>
      <c r="J76" s="161"/>
      <c r="K76" s="161"/>
      <c r="L76" s="161"/>
      <c r="M76" s="162">
        <v>0.8</v>
      </c>
    </row>
    <row r="77" spans="1:13">
      <c r="A77" s="156"/>
      <c r="B77" s="152"/>
      <c r="C77" s="151">
        <v>73</v>
      </c>
      <c r="D77" s="152">
        <v>56137</v>
      </c>
      <c r="E77" s="153" t="s">
        <v>641</v>
      </c>
      <c r="F77" s="11">
        <v>6458.43</v>
      </c>
      <c r="G77" s="11">
        <v>7098.39</v>
      </c>
      <c r="H77" s="11">
        <f t="shared" si="2"/>
        <v>6778.41</v>
      </c>
      <c r="I77" s="25">
        <f t="shared" si="3"/>
        <v>0</v>
      </c>
      <c r="J77" s="161"/>
      <c r="K77" s="161"/>
      <c r="L77" s="161"/>
      <c r="M77" s="162">
        <v>0.8</v>
      </c>
    </row>
    <row r="78" spans="1:13">
      <c r="A78" s="154">
        <v>27</v>
      </c>
      <c r="B78" s="152" t="s">
        <v>264</v>
      </c>
      <c r="C78" s="151">
        <v>74</v>
      </c>
      <c r="D78" s="152">
        <v>53845</v>
      </c>
      <c r="E78" s="153" t="s">
        <v>642</v>
      </c>
      <c r="F78" s="11">
        <v>5516.37</v>
      </c>
      <c r="G78" s="11">
        <v>5203.34</v>
      </c>
      <c r="H78" s="11">
        <f t="shared" si="2"/>
        <v>5359.855</v>
      </c>
      <c r="I78" s="25">
        <f t="shared" si="3"/>
        <v>0</v>
      </c>
      <c r="J78" s="161"/>
      <c r="K78" s="161"/>
      <c r="L78" s="161"/>
      <c r="M78" s="162">
        <v>0.8</v>
      </c>
    </row>
    <row r="79" spans="1:13">
      <c r="A79" s="155"/>
      <c r="B79" s="152"/>
      <c r="C79" s="151">
        <v>75</v>
      </c>
      <c r="D79" s="152">
        <v>57036</v>
      </c>
      <c r="E79" s="153" t="s">
        <v>643</v>
      </c>
      <c r="F79" s="11">
        <v>4238.88</v>
      </c>
      <c r="G79" s="11">
        <v>4200.58</v>
      </c>
      <c r="H79" s="11">
        <f t="shared" si="2"/>
        <v>4219.73</v>
      </c>
      <c r="I79" s="25">
        <f t="shared" si="3"/>
        <v>0</v>
      </c>
      <c r="J79" s="161"/>
      <c r="K79" s="161"/>
      <c r="L79" s="161"/>
      <c r="M79" s="162">
        <v>0.8</v>
      </c>
    </row>
    <row r="80" spans="1:13">
      <c r="A80" s="156"/>
      <c r="B80" s="152"/>
      <c r="C80" s="151">
        <v>76</v>
      </c>
      <c r="D80" s="152">
        <v>57245</v>
      </c>
      <c r="E80" s="153" t="s">
        <v>644</v>
      </c>
      <c r="F80" s="11">
        <v>4150.45</v>
      </c>
      <c r="G80" s="11">
        <v>4510.42</v>
      </c>
      <c r="H80" s="11">
        <f t="shared" si="2"/>
        <v>4330.435</v>
      </c>
      <c r="I80" s="25">
        <f t="shared" si="3"/>
        <v>0</v>
      </c>
      <c r="J80" s="161"/>
      <c r="K80" s="161"/>
      <c r="L80" s="161"/>
      <c r="M80" s="162">
        <v>0.8</v>
      </c>
    </row>
    <row r="81" spans="1:13">
      <c r="A81" s="154">
        <v>28</v>
      </c>
      <c r="B81" s="152" t="s">
        <v>279</v>
      </c>
      <c r="C81" s="151">
        <v>77</v>
      </c>
      <c r="D81" s="152">
        <v>52418</v>
      </c>
      <c r="E81" s="153" t="s">
        <v>645</v>
      </c>
      <c r="F81" s="11">
        <v>6567.57</v>
      </c>
      <c r="G81" s="11">
        <v>6397.12</v>
      </c>
      <c r="H81" s="11">
        <f t="shared" si="2"/>
        <v>6482.345</v>
      </c>
      <c r="I81" s="25">
        <f t="shared" si="3"/>
        <v>0</v>
      </c>
      <c r="J81" s="161"/>
      <c r="K81" s="161"/>
      <c r="L81" s="161"/>
      <c r="M81" s="162">
        <v>0.8</v>
      </c>
    </row>
    <row r="82" spans="1:13">
      <c r="A82" s="155"/>
      <c r="B82" s="152"/>
      <c r="C82" s="151">
        <v>78</v>
      </c>
      <c r="D82" s="152">
        <v>52533</v>
      </c>
      <c r="E82" s="153" t="s">
        <v>646</v>
      </c>
      <c r="F82" s="11">
        <v>6015.36</v>
      </c>
      <c r="G82" s="11">
        <v>6307.04</v>
      </c>
      <c r="H82" s="11">
        <f t="shared" si="2"/>
        <v>6161.2</v>
      </c>
      <c r="I82" s="25">
        <f t="shared" si="3"/>
        <v>0</v>
      </c>
      <c r="J82" s="161"/>
      <c r="K82" s="161"/>
      <c r="L82" s="161"/>
      <c r="M82" s="162">
        <v>0.8</v>
      </c>
    </row>
    <row r="83" spans="1:13">
      <c r="A83" s="155"/>
      <c r="B83" s="152"/>
      <c r="C83" s="151">
        <v>79</v>
      </c>
      <c r="D83" s="152">
        <v>52681</v>
      </c>
      <c r="E83" s="153" t="s">
        <v>647</v>
      </c>
      <c r="F83" s="11">
        <v>6265.01</v>
      </c>
      <c r="G83" s="11">
        <v>6320.43</v>
      </c>
      <c r="H83" s="11">
        <f t="shared" si="2"/>
        <v>6292.72</v>
      </c>
      <c r="I83" s="25">
        <f t="shared" si="3"/>
        <v>0</v>
      </c>
      <c r="J83" s="161"/>
      <c r="K83" s="161"/>
      <c r="L83" s="161"/>
      <c r="M83" s="162">
        <v>0.8</v>
      </c>
    </row>
    <row r="84" spans="1:13">
      <c r="A84" s="156"/>
      <c r="B84" s="152"/>
      <c r="C84" s="151">
        <v>80</v>
      </c>
      <c r="D84" s="152">
        <v>52889</v>
      </c>
      <c r="E84" s="153" t="s">
        <v>648</v>
      </c>
      <c r="F84" s="11">
        <v>5088.02</v>
      </c>
      <c r="G84" s="11">
        <v>5162.13</v>
      </c>
      <c r="H84" s="11">
        <f t="shared" si="2"/>
        <v>5125.075</v>
      </c>
      <c r="I84" s="25">
        <f t="shared" si="3"/>
        <v>0</v>
      </c>
      <c r="J84" s="161"/>
      <c r="K84" s="161"/>
      <c r="L84" s="161"/>
      <c r="M84" s="162">
        <v>0.8</v>
      </c>
    </row>
    <row r="85" spans="1:13">
      <c r="A85" s="154">
        <v>29</v>
      </c>
      <c r="B85" s="152" t="s">
        <v>276</v>
      </c>
      <c r="C85" s="151">
        <v>81</v>
      </c>
      <c r="D85" s="152">
        <v>52754</v>
      </c>
      <c r="E85" s="153" t="s">
        <v>649</v>
      </c>
      <c r="F85" s="11">
        <v>6682.48</v>
      </c>
      <c r="G85" s="11">
        <v>6441.42</v>
      </c>
      <c r="H85" s="11">
        <f t="shared" si="2"/>
        <v>6561.95</v>
      </c>
      <c r="I85" s="25">
        <f t="shared" si="3"/>
        <v>0</v>
      </c>
      <c r="J85" s="161"/>
      <c r="K85" s="161"/>
      <c r="L85" s="161"/>
      <c r="M85" s="162">
        <v>0.8</v>
      </c>
    </row>
    <row r="86" spans="1:13">
      <c r="A86" s="155"/>
      <c r="B86" s="152"/>
      <c r="C86" s="151">
        <v>82</v>
      </c>
      <c r="D86" s="152">
        <v>52818</v>
      </c>
      <c r="E86" s="153" t="s">
        <v>650</v>
      </c>
      <c r="F86" s="11">
        <v>6815.91</v>
      </c>
      <c r="G86" s="11">
        <v>6889.84</v>
      </c>
      <c r="H86" s="11">
        <f t="shared" si="2"/>
        <v>6852.875</v>
      </c>
      <c r="I86" s="25">
        <f t="shared" si="3"/>
        <v>0</v>
      </c>
      <c r="J86" s="161"/>
      <c r="K86" s="161"/>
      <c r="L86" s="161"/>
      <c r="M86" s="162">
        <v>0.8</v>
      </c>
    </row>
    <row r="87" spans="1:13">
      <c r="A87" s="155"/>
      <c r="B87" s="152"/>
      <c r="C87" s="151">
        <v>83</v>
      </c>
      <c r="D87" s="152">
        <v>52866</v>
      </c>
      <c r="E87" s="153" t="s">
        <v>651</v>
      </c>
      <c r="F87" s="11">
        <v>5605.73</v>
      </c>
      <c r="G87" s="11">
        <v>5840.88</v>
      </c>
      <c r="H87" s="11">
        <f t="shared" si="2"/>
        <v>5723.305</v>
      </c>
      <c r="I87" s="25">
        <f t="shared" si="3"/>
        <v>0</v>
      </c>
      <c r="J87" s="161"/>
      <c r="K87" s="161"/>
      <c r="L87" s="161"/>
      <c r="M87" s="162">
        <v>0.8</v>
      </c>
    </row>
    <row r="88" spans="1:13">
      <c r="A88" s="155"/>
      <c r="B88" s="152"/>
      <c r="C88" s="151">
        <v>84</v>
      </c>
      <c r="D88" s="152">
        <v>56029</v>
      </c>
      <c r="E88" s="153" t="s">
        <v>652</v>
      </c>
      <c r="F88" s="11">
        <v>5986.22</v>
      </c>
      <c r="G88" s="11">
        <v>6214.36</v>
      </c>
      <c r="H88" s="11">
        <f t="shared" si="2"/>
        <v>6100.29</v>
      </c>
      <c r="I88" s="25">
        <f t="shared" si="3"/>
        <v>0</v>
      </c>
      <c r="J88" s="161"/>
      <c r="K88" s="161"/>
      <c r="L88" s="161"/>
      <c r="M88" s="162">
        <v>0.8</v>
      </c>
    </row>
    <row r="89" spans="1:13">
      <c r="A89" s="156"/>
      <c r="B89" s="152"/>
      <c r="C89" s="151">
        <v>85</v>
      </c>
      <c r="D89" s="152">
        <v>56043</v>
      </c>
      <c r="E89" s="153" t="s">
        <v>653</v>
      </c>
      <c r="F89" s="11">
        <v>7147.49</v>
      </c>
      <c r="G89" s="11">
        <v>7128.46</v>
      </c>
      <c r="H89" s="11">
        <f t="shared" si="2"/>
        <v>7137.975</v>
      </c>
      <c r="I89" s="25">
        <f t="shared" si="3"/>
        <v>0</v>
      </c>
      <c r="J89" s="161"/>
      <c r="K89" s="161"/>
      <c r="L89" s="161"/>
      <c r="M89" s="162">
        <v>0.8</v>
      </c>
    </row>
    <row r="90" spans="1:13">
      <c r="A90" s="154">
        <v>30</v>
      </c>
      <c r="B90" s="152" t="s">
        <v>277</v>
      </c>
      <c r="C90" s="151">
        <v>86</v>
      </c>
      <c r="D90" s="152">
        <v>53614</v>
      </c>
      <c r="E90" s="153" t="s">
        <v>654</v>
      </c>
      <c r="F90" s="11">
        <v>5785.07</v>
      </c>
      <c r="G90" s="11">
        <v>5856.36</v>
      </c>
      <c r="H90" s="11">
        <f t="shared" si="2"/>
        <v>5820.715</v>
      </c>
      <c r="I90" s="25">
        <f t="shared" si="3"/>
        <v>0</v>
      </c>
      <c r="J90" s="161"/>
      <c r="K90" s="161"/>
      <c r="L90" s="161"/>
      <c r="M90" s="162">
        <v>0.8</v>
      </c>
    </row>
    <row r="91" spans="1:13">
      <c r="A91" s="156"/>
      <c r="B91" s="152"/>
      <c r="C91" s="151">
        <v>87</v>
      </c>
      <c r="D91" s="152">
        <v>53817</v>
      </c>
      <c r="E91" s="153" t="s">
        <v>655</v>
      </c>
      <c r="F91" s="11">
        <v>5555.84</v>
      </c>
      <c r="G91" s="11">
        <v>5768.01</v>
      </c>
      <c r="H91" s="11">
        <f t="shared" si="2"/>
        <v>5661.925</v>
      </c>
      <c r="I91" s="25">
        <f t="shared" si="3"/>
        <v>0</v>
      </c>
      <c r="J91" s="161"/>
      <c r="K91" s="161"/>
      <c r="L91" s="161"/>
      <c r="M91" s="162">
        <v>0.8</v>
      </c>
    </row>
    <row r="92" spans="1:13">
      <c r="A92" s="154">
        <v>31</v>
      </c>
      <c r="B92" s="152" t="s">
        <v>278</v>
      </c>
      <c r="C92" s="151">
        <v>88</v>
      </c>
      <c r="D92" s="152">
        <v>51076</v>
      </c>
      <c r="E92" s="153" t="s">
        <v>656</v>
      </c>
      <c r="F92" s="11">
        <v>5393.59</v>
      </c>
      <c r="G92" s="11">
        <v>5406.41</v>
      </c>
      <c r="H92" s="11">
        <f t="shared" si="2"/>
        <v>5400</v>
      </c>
      <c r="I92" s="25">
        <f t="shared" si="3"/>
        <v>0</v>
      </c>
      <c r="J92" s="161"/>
      <c r="K92" s="161"/>
      <c r="L92" s="161"/>
      <c r="M92" s="162">
        <v>0.8</v>
      </c>
    </row>
    <row r="93" spans="1:13">
      <c r="A93" s="155"/>
      <c r="B93" s="152"/>
      <c r="C93" s="151">
        <v>89</v>
      </c>
      <c r="D93" s="152">
        <v>51133</v>
      </c>
      <c r="E93" s="153" t="s">
        <v>657</v>
      </c>
      <c r="F93" s="11">
        <v>5461.6</v>
      </c>
      <c r="G93" s="11">
        <v>5068</v>
      </c>
      <c r="H93" s="11">
        <f t="shared" si="2"/>
        <v>5264.8</v>
      </c>
      <c r="I93" s="25">
        <f t="shared" si="3"/>
        <v>0</v>
      </c>
      <c r="J93" s="161"/>
      <c r="K93" s="161"/>
      <c r="L93" s="161"/>
      <c r="M93" s="162">
        <v>0.8</v>
      </c>
    </row>
    <row r="94" spans="1:13">
      <c r="A94" s="155"/>
      <c r="B94" s="152"/>
      <c r="C94" s="151">
        <v>90</v>
      </c>
      <c r="D94" s="152">
        <v>51431</v>
      </c>
      <c r="E94" s="153" t="s">
        <v>658</v>
      </c>
      <c r="F94" s="11">
        <v>5477.22</v>
      </c>
      <c r="G94" s="11">
        <v>5253.51</v>
      </c>
      <c r="H94" s="11">
        <f t="shared" si="2"/>
        <v>5365.365</v>
      </c>
      <c r="I94" s="25">
        <f t="shared" si="3"/>
        <v>0</v>
      </c>
      <c r="J94" s="161"/>
      <c r="K94" s="161"/>
      <c r="L94" s="161"/>
      <c r="M94" s="162">
        <v>0.8</v>
      </c>
    </row>
    <row r="95" spans="1:13">
      <c r="A95" s="155"/>
      <c r="B95" s="152"/>
      <c r="C95" s="151">
        <v>91</v>
      </c>
      <c r="D95" s="152">
        <v>51463</v>
      </c>
      <c r="E95" s="153" t="s">
        <v>659</v>
      </c>
      <c r="F95" s="11">
        <v>5104.98</v>
      </c>
      <c r="G95" s="11">
        <v>5287.83</v>
      </c>
      <c r="H95" s="11">
        <f t="shared" si="2"/>
        <v>5196.405</v>
      </c>
      <c r="I95" s="25">
        <f t="shared" si="3"/>
        <v>0</v>
      </c>
      <c r="J95" s="161"/>
      <c r="K95" s="161"/>
      <c r="L95" s="161"/>
      <c r="M95" s="162">
        <v>0.8</v>
      </c>
    </row>
    <row r="96" spans="1:13">
      <c r="A96" s="155"/>
      <c r="B96" s="152"/>
      <c r="C96" s="151">
        <v>92</v>
      </c>
      <c r="D96" s="152">
        <v>51567</v>
      </c>
      <c r="E96" s="153" t="s">
        <v>660</v>
      </c>
      <c r="F96" s="11">
        <v>5621.37</v>
      </c>
      <c r="G96" s="11">
        <v>5751.29</v>
      </c>
      <c r="H96" s="11">
        <f t="shared" si="2"/>
        <v>5686.33</v>
      </c>
      <c r="I96" s="25">
        <f t="shared" si="3"/>
        <v>0</v>
      </c>
      <c r="J96" s="161"/>
      <c r="K96" s="161"/>
      <c r="L96" s="161"/>
      <c r="M96" s="162">
        <v>0.8</v>
      </c>
    </row>
    <row r="97" spans="1:13">
      <c r="A97" s="155"/>
      <c r="B97" s="152"/>
      <c r="C97" s="164">
        <v>93</v>
      </c>
      <c r="D97" s="165">
        <v>51573</v>
      </c>
      <c r="E97" s="166" t="s">
        <v>661</v>
      </c>
      <c r="F97" s="11">
        <v>5482.88</v>
      </c>
      <c r="G97" s="11">
        <v>5384.43</v>
      </c>
      <c r="H97" s="11">
        <f t="shared" si="2"/>
        <v>5433.655</v>
      </c>
      <c r="I97" s="25">
        <f t="shared" si="3"/>
        <v>0</v>
      </c>
      <c r="J97" s="161"/>
      <c r="K97" s="161"/>
      <c r="L97" s="161"/>
      <c r="M97" s="162">
        <v>0.8</v>
      </c>
    </row>
    <row r="98" spans="1:13">
      <c r="A98" s="155"/>
      <c r="B98" s="152"/>
      <c r="C98" s="151">
        <v>94</v>
      </c>
      <c r="D98" s="152">
        <v>51628</v>
      </c>
      <c r="E98" s="153" t="s">
        <v>662</v>
      </c>
      <c r="F98" s="11">
        <v>5493.05</v>
      </c>
      <c r="G98" s="11">
        <v>5867.66</v>
      </c>
      <c r="H98" s="11">
        <f t="shared" si="2"/>
        <v>5680.355</v>
      </c>
      <c r="I98" s="25">
        <f t="shared" si="3"/>
        <v>0</v>
      </c>
      <c r="J98" s="161"/>
      <c r="K98" s="161"/>
      <c r="L98" s="161"/>
      <c r="M98" s="162">
        <v>0.8</v>
      </c>
    </row>
    <row r="99" spans="1:13">
      <c r="A99" s="155"/>
      <c r="B99" s="152"/>
      <c r="C99" s="151">
        <v>95</v>
      </c>
      <c r="D99" s="152">
        <v>51709</v>
      </c>
      <c r="E99" s="153" t="s">
        <v>663</v>
      </c>
      <c r="F99" s="11">
        <v>5835.51</v>
      </c>
      <c r="G99" s="11">
        <v>5767.17</v>
      </c>
      <c r="H99" s="11">
        <f t="shared" si="2"/>
        <v>5801.34</v>
      </c>
      <c r="I99" s="25">
        <f t="shared" si="3"/>
        <v>0</v>
      </c>
      <c r="J99" s="161"/>
      <c r="K99" s="161"/>
      <c r="L99" s="161"/>
      <c r="M99" s="162">
        <v>0.8</v>
      </c>
    </row>
    <row r="100" spans="1:13">
      <c r="A100" s="155"/>
      <c r="B100" s="152"/>
      <c r="C100" s="151">
        <v>96</v>
      </c>
      <c r="D100" s="152">
        <v>51777</v>
      </c>
      <c r="E100" s="153" t="s">
        <v>664</v>
      </c>
      <c r="F100" s="11">
        <v>6143.16</v>
      </c>
      <c r="G100" s="11">
        <v>5702.29</v>
      </c>
      <c r="H100" s="11">
        <f t="shared" si="2"/>
        <v>5922.725</v>
      </c>
      <c r="I100" s="25">
        <f t="shared" si="3"/>
        <v>0</v>
      </c>
      <c r="J100" s="161"/>
      <c r="K100" s="161"/>
      <c r="L100" s="161"/>
      <c r="M100" s="162">
        <v>0.8</v>
      </c>
    </row>
    <row r="101" spans="1:13">
      <c r="A101" s="155"/>
      <c r="B101" s="152"/>
      <c r="C101" s="151">
        <v>97</v>
      </c>
      <c r="D101" s="152">
        <v>51828</v>
      </c>
      <c r="E101" s="153" t="s">
        <v>665</v>
      </c>
      <c r="F101" s="11">
        <v>5907.51</v>
      </c>
      <c r="G101" s="11">
        <v>5631.55</v>
      </c>
      <c r="H101" s="11">
        <f t="shared" si="2"/>
        <v>5769.53</v>
      </c>
      <c r="I101" s="25">
        <f t="shared" si="3"/>
        <v>0</v>
      </c>
      <c r="J101" s="161"/>
      <c r="K101" s="161"/>
      <c r="L101" s="161"/>
      <c r="M101" s="162">
        <v>0.8</v>
      </c>
    </row>
    <row r="102" spans="1:13">
      <c r="A102" s="156"/>
      <c r="B102" s="152"/>
      <c r="C102" s="151">
        <v>98</v>
      </c>
      <c r="D102" s="152">
        <v>52203</v>
      </c>
      <c r="E102" s="153" t="s">
        <v>666</v>
      </c>
      <c r="F102" s="11">
        <v>5944.42</v>
      </c>
      <c r="G102" s="11">
        <v>5624.68</v>
      </c>
      <c r="H102" s="11">
        <f t="shared" si="2"/>
        <v>5784.55</v>
      </c>
      <c r="I102" s="25">
        <f t="shared" si="3"/>
        <v>0</v>
      </c>
      <c r="J102" s="161"/>
      <c r="K102" s="161"/>
      <c r="L102" s="161"/>
      <c r="M102" s="162">
        <v>0.8</v>
      </c>
    </row>
    <row r="103" spans="1:5">
      <c r="A103" s="145"/>
      <c r="B103" s="145"/>
      <c r="C103" s="145"/>
      <c r="D103" s="145"/>
      <c r="E103" s="1"/>
    </row>
    <row r="104" spans="1:6">
      <c r="A104" s="167"/>
      <c r="B104" s="168"/>
      <c r="C104" s="167"/>
      <c r="D104" s="169"/>
      <c r="E104" s="170"/>
      <c r="F104" s="6"/>
    </row>
    <row r="105" spans="1:6">
      <c r="A105" s="167"/>
      <c r="B105" s="168"/>
      <c r="C105" s="167"/>
      <c r="D105" s="169"/>
      <c r="E105" s="170"/>
      <c r="F105" s="6"/>
    </row>
    <row r="106" spans="1:6">
      <c r="A106" s="171"/>
      <c r="B106" s="172"/>
      <c r="C106" s="171"/>
      <c r="D106" s="172"/>
      <c r="E106" s="173"/>
      <c r="F106" s="6"/>
    </row>
    <row r="107" spans="1:6">
      <c r="A107" s="171"/>
      <c r="B107" s="172"/>
      <c r="C107" s="171"/>
      <c r="D107" s="172"/>
      <c r="E107" s="173"/>
      <c r="F107" s="6"/>
    </row>
    <row r="108" spans="1:6">
      <c r="A108" s="171"/>
      <c r="B108" s="172"/>
      <c r="C108" s="171"/>
      <c r="D108" s="172"/>
      <c r="E108" s="173"/>
      <c r="F108" s="6"/>
    </row>
    <row r="109" spans="1:6">
      <c r="A109" s="171"/>
      <c r="B109" s="172"/>
      <c r="C109" s="171"/>
      <c r="D109" s="172"/>
      <c r="E109" s="173"/>
      <c r="F109" s="6"/>
    </row>
    <row r="110" spans="1:6">
      <c r="A110" s="171"/>
      <c r="B110" s="172"/>
      <c r="C110" s="171"/>
      <c r="D110" s="172"/>
      <c r="E110" s="173"/>
      <c r="F110" s="6"/>
    </row>
    <row r="111" spans="1:6">
      <c r="A111" s="171"/>
      <c r="B111" s="172"/>
      <c r="C111" s="171"/>
      <c r="D111" s="172"/>
      <c r="E111" s="173"/>
      <c r="F111" s="6"/>
    </row>
    <row r="112" spans="1:6">
      <c r="A112" s="171"/>
      <c r="B112" s="174"/>
      <c r="C112" s="171"/>
      <c r="D112" s="172"/>
      <c r="E112" s="173"/>
      <c r="F112" s="6"/>
    </row>
    <row r="113" spans="1:6">
      <c r="A113" s="171"/>
      <c r="B113" s="174"/>
      <c r="C113" s="171"/>
      <c r="D113" s="172"/>
      <c r="E113" s="173"/>
      <c r="F113" s="6"/>
    </row>
    <row r="114" spans="1:6">
      <c r="A114" s="171"/>
      <c r="B114" s="174"/>
      <c r="C114" s="171"/>
      <c r="D114" s="172"/>
      <c r="E114" s="173"/>
      <c r="F114" s="6"/>
    </row>
    <row r="115" spans="1:6">
      <c r="A115" s="171"/>
      <c r="B115" s="174"/>
      <c r="C115" s="171"/>
      <c r="D115" s="172"/>
      <c r="E115" s="173"/>
      <c r="F115" s="6"/>
    </row>
    <row r="116" spans="1:6">
      <c r="A116" s="171"/>
      <c r="B116" s="174"/>
      <c r="C116" s="171"/>
      <c r="D116" s="172"/>
      <c r="E116" s="173"/>
      <c r="F116" s="6"/>
    </row>
    <row r="117" spans="1:6">
      <c r="A117" s="171"/>
      <c r="B117" s="174"/>
      <c r="C117" s="171"/>
      <c r="D117" s="172"/>
      <c r="E117" s="173"/>
      <c r="F117" s="6"/>
    </row>
    <row r="118" spans="1:6">
      <c r="A118" s="171"/>
      <c r="B118" s="174"/>
      <c r="C118" s="171"/>
      <c r="D118" s="172"/>
      <c r="E118" s="173"/>
      <c r="F118" s="6"/>
    </row>
    <row r="119" spans="1:6">
      <c r="A119" s="171"/>
      <c r="B119" s="174"/>
      <c r="C119" s="171"/>
      <c r="D119" s="172"/>
      <c r="E119" s="173"/>
      <c r="F119" s="6"/>
    </row>
    <row r="120" spans="1:6">
      <c r="A120" s="171"/>
      <c r="B120" s="172"/>
      <c r="C120" s="171"/>
      <c r="D120" s="172"/>
      <c r="E120" s="173"/>
      <c r="F120" s="6"/>
    </row>
    <row r="121" spans="1:6">
      <c r="A121" s="171"/>
      <c r="B121" s="172"/>
      <c r="C121" s="171"/>
      <c r="D121" s="172"/>
      <c r="E121" s="173"/>
      <c r="F121" s="6"/>
    </row>
    <row r="122" spans="1:6">
      <c r="A122" s="171"/>
      <c r="B122" s="172"/>
      <c r="C122" s="171"/>
      <c r="D122" s="172"/>
      <c r="E122" s="173"/>
      <c r="F122" s="6"/>
    </row>
    <row r="123" spans="1:6">
      <c r="A123" s="171"/>
      <c r="B123" s="172"/>
      <c r="C123" s="171"/>
      <c r="D123" s="172"/>
      <c r="E123" s="173"/>
      <c r="F123" s="6"/>
    </row>
    <row r="124" spans="1:6">
      <c r="A124" s="171"/>
      <c r="B124" s="172"/>
      <c r="C124" s="171"/>
      <c r="D124" s="172"/>
      <c r="E124" s="173"/>
      <c r="F124" s="6"/>
    </row>
    <row r="125" spans="1:6">
      <c r="A125" s="171"/>
      <c r="B125" s="174"/>
      <c r="C125" s="171"/>
      <c r="D125" s="172"/>
      <c r="E125" s="173"/>
      <c r="F125" s="6"/>
    </row>
    <row r="126" spans="1:6">
      <c r="A126" s="171"/>
      <c r="B126" s="174"/>
      <c r="C126" s="171"/>
      <c r="D126" s="172"/>
      <c r="E126" s="173"/>
      <c r="F126" s="6"/>
    </row>
    <row r="127" spans="1:6">
      <c r="A127" s="171"/>
      <c r="B127" s="174"/>
      <c r="C127" s="171"/>
      <c r="D127" s="172"/>
      <c r="E127" s="173"/>
      <c r="F127" s="6"/>
    </row>
    <row r="128" spans="1:6">
      <c r="A128" s="171"/>
      <c r="B128" s="174"/>
      <c r="C128" s="171"/>
      <c r="D128" s="172"/>
      <c r="E128" s="173"/>
      <c r="F128" s="6"/>
    </row>
    <row r="129" spans="1:6">
      <c r="A129" s="171"/>
      <c r="B129" s="174"/>
      <c r="C129" s="171"/>
      <c r="D129" s="172"/>
      <c r="E129" s="173"/>
      <c r="F129" s="6"/>
    </row>
    <row r="130" spans="1:6">
      <c r="A130" s="171"/>
      <c r="B130" s="175"/>
      <c r="C130" s="171"/>
      <c r="D130" s="172"/>
      <c r="E130" s="173"/>
      <c r="F130" s="6"/>
    </row>
    <row r="131" spans="1:6">
      <c r="A131" s="171"/>
      <c r="B131" s="172"/>
      <c r="C131" s="171"/>
      <c r="D131" s="172"/>
      <c r="E131" s="173"/>
      <c r="F131" s="6"/>
    </row>
    <row r="132" spans="1:6">
      <c r="A132" s="171"/>
      <c r="B132" s="172"/>
      <c r="C132" s="171"/>
      <c r="D132" s="172"/>
      <c r="E132" s="173"/>
      <c r="F132" s="6"/>
    </row>
    <row r="133" spans="1:6">
      <c r="A133" s="171"/>
      <c r="B133" s="172"/>
      <c r="C133" s="171"/>
      <c r="D133" s="172"/>
      <c r="E133" s="173"/>
      <c r="F133" s="6"/>
    </row>
    <row r="134" spans="1:6">
      <c r="A134" s="171"/>
      <c r="B134" s="172"/>
      <c r="C134" s="171"/>
      <c r="D134" s="172"/>
      <c r="E134" s="173"/>
      <c r="F134" s="6"/>
    </row>
    <row r="135" spans="1:6">
      <c r="A135" s="171"/>
      <c r="B135" s="172"/>
      <c r="C135" s="171"/>
      <c r="D135" s="172"/>
      <c r="E135" s="173"/>
      <c r="F135" s="6"/>
    </row>
    <row r="136" spans="1:6">
      <c r="A136" s="171"/>
      <c r="B136" s="172"/>
      <c r="C136" s="171"/>
      <c r="D136" s="172"/>
      <c r="E136" s="173"/>
      <c r="F136" s="6"/>
    </row>
    <row r="137" spans="1:6">
      <c r="A137" s="171"/>
      <c r="B137" s="172"/>
      <c r="C137" s="171"/>
      <c r="D137" s="172"/>
      <c r="E137" s="173"/>
      <c r="F137" s="6"/>
    </row>
    <row r="138" spans="1:6">
      <c r="A138" s="171"/>
      <c r="B138" s="172"/>
      <c r="C138" s="171"/>
      <c r="D138" s="172"/>
      <c r="E138" s="173"/>
      <c r="F138" s="6"/>
    </row>
    <row r="139" spans="1:6">
      <c r="A139" s="171"/>
      <c r="B139" s="172"/>
      <c r="C139" s="171"/>
      <c r="D139" s="172"/>
      <c r="E139" s="173"/>
      <c r="F139" s="6"/>
    </row>
    <row r="140" spans="1:6">
      <c r="A140" s="171"/>
      <c r="B140" s="172"/>
      <c r="C140" s="171"/>
      <c r="D140" s="172"/>
      <c r="E140" s="173"/>
      <c r="F140" s="6"/>
    </row>
    <row r="141" spans="1:6">
      <c r="A141" s="171"/>
      <c r="B141" s="172"/>
      <c r="C141" s="171"/>
      <c r="D141" s="172"/>
      <c r="E141" s="173"/>
      <c r="F141" s="6"/>
    </row>
    <row r="142" spans="1:6">
      <c r="A142" s="171"/>
      <c r="B142" s="172"/>
      <c r="C142" s="171"/>
      <c r="D142" s="172"/>
      <c r="E142" s="173"/>
      <c r="F142" s="6"/>
    </row>
    <row r="143" spans="1:6">
      <c r="A143" s="171"/>
      <c r="B143" s="172"/>
      <c r="C143" s="171"/>
      <c r="D143" s="172"/>
      <c r="E143" s="173"/>
      <c r="F143" s="6"/>
    </row>
    <row r="144" spans="1:6">
      <c r="A144" s="171"/>
      <c r="B144" s="172"/>
      <c r="C144" s="171"/>
      <c r="D144" s="172"/>
      <c r="E144" s="173"/>
      <c r="F144" s="6"/>
    </row>
    <row r="145" spans="1:6">
      <c r="A145" s="171"/>
      <c r="B145" s="172"/>
      <c r="C145" s="171"/>
      <c r="D145" s="172"/>
      <c r="E145" s="173"/>
      <c r="F145" s="6"/>
    </row>
    <row r="146" spans="1:6">
      <c r="A146" s="171"/>
      <c r="B146" s="172"/>
      <c r="C146" s="171"/>
      <c r="D146" s="172"/>
      <c r="E146" s="173"/>
      <c r="F146" s="6"/>
    </row>
    <row r="147" spans="1:6">
      <c r="A147" s="171"/>
      <c r="B147" s="172"/>
      <c r="C147" s="171"/>
      <c r="D147" s="172"/>
      <c r="E147" s="173"/>
      <c r="F147" s="6"/>
    </row>
    <row r="148" spans="1:6">
      <c r="A148" s="171"/>
      <c r="B148" s="172"/>
      <c r="C148" s="171"/>
      <c r="D148" s="172"/>
      <c r="E148" s="173"/>
      <c r="F148" s="6"/>
    </row>
    <row r="149" spans="1:6">
      <c r="A149" s="171"/>
      <c r="B149" s="172"/>
      <c r="C149" s="171"/>
      <c r="D149" s="172"/>
      <c r="E149" s="173"/>
      <c r="F149" s="6"/>
    </row>
    <row r="150" spans="1:6">
      <c r="A150" s="171"/>
      <c r="B150" s="172"/>
      <c r="C150" s="171"/>
      <c r="D150" s="172"/>
      <c r="E150" s="173"/>
      <c r="F150" s="6"/>
    </row>
    <row r="151" spans="1:6">
      <c r="A151" s="171"/>
      <c r="B151" s="172"/>
      <c r="C151" s="171"/>
      <c r="D151" s="172"/>
      <c r="E151" s="173"/>
      <c r="F151" s="6"/>
    </row>
    <row r="152" spans="1:6">
      <c r="A152" s="171"/>
      <c r="B152" s="172"/>
      <c r="C152" s="171"/>
      <c r="D152" s="172"/>
      <c r="E152" s="173"/>
      <c r="F152" s="6"/>
    </row>
    <row r="153" spans="1:6">
      <c r="A153" s="171"/>
      <c r="B153" s="172"/>
      <c r="C153" s="171"/>
      <c r="D153" s="172"/>
      <c r="E153" s="173"/>
      <c r="F153" s="6"/>
    </row>
    <row r="154" spans="1:6">
      <c r="A154" s="171"/>
      <c r="B154" s="172"/>
      <c r="C154" s="171"/>
      <c r="D154" s="172"/>
      <c r="E154" s="173"/>
      <c r="F154" s="6"/>
    </row>
    <row r="155" spans="1:6">
      <c r="A155" s="171"/>
      <c r="B155" s="172"/>
      <c r="C155" s="171"/>
      <c r="D155" s="172"/>
      <c r="E155" s="173"/>
      <c r="F155" s="6"/>
    </row>
    <row r="156" spans="1:6">
      <c r="A156" s="171"/>
      <c r="B156" s="172"/>
      <c r="C156" s="171"/>
      <c r="D156" s="172"/>
      <c r="E156" s="173"/>
      <c r="F156" s="6"/>
    </row>
    <row r="157" spans="1:6">
      <c r="A157" s="171"/>
      <c r="B157" s="172"/>
      <c r="C157" s="171"/>
      <c r="D157" s="172"/>
      <c r="E157" s="173"/>
      <c r="F157" s="6"/>
    </row>
    <row r="158" spans="1:6">
      <c r="A158" s="171"/>
      <c r="B158" s="172"/>
      <c r="C158" s="171"/>
      <c r="D158" s="172"/>
      <c r="E158" s="173"/>
      <c r="F158" s="6"/>
    </row>
    <row r="159" spans="1:6">
      <c r="A159" s="171"/>
      <c r="B159" s="172"/>
      <c r="C159" s="171"/>
      <c r="D159" s="172"/>
      <c r="E159" s="173"/>
      <c r="F159" s="6"/>
    </row>
    <row r="160" spans="1:6">
      <c r="A160" s="171"/>
      <c r="B160" s="172"/>
      <c r="C160" s="171"/>
      <c r="D160" s="172"/>
      <c r="E160" s="173"/>
      <c r="F160" s="6"/>
    </row>
    <row r="161" spans="1:6">
      <c r="A161" s="171"/>
      <c r="B161" s="175"/>
      <c r="C161" s="171"/>
      <c r="D161" s="172"/>
      <c r="E161" s="173"/>
      <c r="F161" s="6"/>
    </row>
    <row r="162" spans="1:6">
      <c r="A162" s="171"/>
      <c r="B162" s="172"/>
      <c r="C162" s="171"/>
      <c r="D162" s="172"/>
      <c r="E162" s="173"/>
      <c r="F162" s="6"/>
    </row>
    <row r="163" spans="1:6">
      <c r="A163" s="171"/>
      <c r="B163" s="172"/>
      <c r="C163" s="171"/>
      <c r="D163" s="172"/>
      <c r="E163" s="173"/>
      <c r="F163" s="6"/>
    </row>
    <row r="164" spans="1:6">
      <c r="A164" s="171"/>
      <c r="B164" s="172"/>
      <c r="C164" s="171"/>
      <c r="D164" s="172"/>
      <c r="E164" s="173"/>
      <c r="F164" s="6"/>
    </row>
    <row r="165" spans="1:6">
      <c r="A165" s="171"/>
      <c r="B165" s="172"/>
      <c r="C165" s="171"/>
      <c r="D165" s="172"/>
      <c r="E165" s="173"/>
      <c r="F165" s="6"/>
    </row>
    <row r="166" spans="1:6">
      <c r="A166" s="171"/>
      <c r="B166" s="172"/>
      <c r="C166" s="171"/>
      <c r="D166" s="172"/>
      <c r="E166" s="173"/>
      <c r="F166" s="6"/>
    </row>
    <row r="167" spans="1:6">
      <c r="A167" s="171"/>
      <c r="B167" s="172"/>
      <c r="C167" s="171"/>
      <c r="D167" s="172"/>
      <c r="E167" s="173"/>
      <c r="F167" s="6"/>
    </row>
    <row r="168" spans="1:6">
      <c r="A168" s="171"/>
      <c r="B168" s="172"/>
      <c r="C168" s="171"/>
      <c r="D168" s="172"/>
      <c r="E168" s="173"/>
      <c r="F168" s="6"/>
    </row>
    <row r="169" spans="1:6">
      <c r="A169" s="171"/>
      <c r="B169" s="172"/>
      <c r="C169" s="171"/>
      <c r="D169" s="172"/>
      <c r="E169" s="173"/>
      <c r="F169" s="6"/>
    </row>
    <row r="170" spans="1:6">
      <c r="A170" s="171"/>
      <c r="B170" s="172"/>
      <c r="C170" s="171"/>
      <c r="D170" s="172"/>
      <c r="E170" s="173"/>
      <c r="F170" s="6"/>
    </row>
    <row r="171" spans="1:6">
      <c r="A171" s="171"/>
      <c r="B171" s="172"/>
      <c r="C171" s="171"/>
      <c r="D171" s="172"/>
      <c r="E171" s="173"/>
      <c r="F171" s="6"/>
    </row>
    <row r="172" spans="1:6">
      <c r="A172" s="171"/>
      <c r="B172" s="172"/>
      <c r="C172" s="171"/>
      <c r="D172" s="172"/>
      <c r="E172" s="173"/>
      <c r="F172" s="6"/>
    </row>
    <row r="173" spans="1:6">
      <c r="A173" s="171"/>
      <c r="B173" s="172"/>
      <c r="C173" s="171"/>
      <c r="D173" s="172"/>
      <c r="E173" s="173"/>
      <c r="F173" s="6"/>
    </row>
    <row r="174" spans="1:6">
      <c r="A174" s="171"/>
      <c r="B174" s="172"/>
      <c r="C174" s="171"/>
      <c r="D174" s="172"/>
      <c r="E174" s="173"/>
      <c r="F174" s="6"/>
    </row>
    <row r="175" spans="1:6">
      <c r="A175" s="171"/>
      <c r="B175" s="172"/>
      <c r="C175" s="171"/>
      <c r="D175" s="172"/>
      <c r="E175" s="173"/>
      <c r="F175" s="6"/>
    </row>
    <row r="176" spans="1:6">
      <c r="A176" s="171"/>
      <c r="B176" s="172"/>
      <c r="C176" s="171"/>
      <c r="D176" s="172"/>
      <c r="E176" s="173"/>
      <c r="F176" s="6"/>
    </row>
    <row r="177" spans="1:6">
      <c r="A177" s="171"/>
      <c r="B177" s="172"/>
      <c r="C177" s="171"/>
      <c r="D177" s="172"/>
      <c r="E177" s="173"/>
      <c r="F177" s="6"/>
    </row>
    <row r="178" spans="1:6">
      <c r="A178" s="171"/>
      <c r="B178" s="172"/>
      <c r="C178" s="171"/>
      <c r="D178" s="172"/>
      <c r="E178" s="173"/>
      <c r="F178" s="6"/>
    </row>
    <row r="179" spans="1:6">
      <c r="A179" s="171"/>
      <c r="B179" s="172"/>
      <c r="C179" s="171"/>
      <c r="D179" s="172"/>
      <c r="E179" s="173"/>
      <c r="F179" s="6"/>
    </row>
    <row r="180" spans="1:6">
      <c r="A180" s="171"/>
      <c r="B180" s="172"/>
      <c r="C180" s="171"/>
      <c r="D180" s="172"/>
      <c r="E180" s="173"/>
      <c r="F180" s="6"/>
    </row>
    <row r="181" spans="1:6">
      <c r="A181" s="171"/>
      <c r="B181" s="172"/>
      <c r="C181" s="171"/>
      <c r="D181" s="172"/>
      <c r="E181" s="173"/>
      <c r="F181" s="6"/>
    </row>
    <row r="182" spans="1:6">
      <c r="A182" s="171"/>
      <c r="B182" s="172"/>
      <c r="C182" s="171"/>
      <c r="D182" s="172"/>
      <c r="E182" s="173"/>
      <c r="F182" s="6"/>
    </row>
    <row r="183" spans="1:6">
      <c r="A183" s="171"/>
      <c r="B183" s="172"/>
      <c r="C183" s="171"/>
      <c r="D183" s="172"/>
      <c r="E183" s="173"/>
      <c r="F183" s="6"/>
    </row>
    <row r="184" spans="1:6">
      <c r="A184" s="171"/>
      <c r="B184" s="172"/>
      <c r="C184" s="171"/>
      <c r="D184" s="172"/>
      <c r="E184" s="173"/>
      <c r="F184" s="6"/>
    </row>
    <row r="185" spans="1:6">
      <c r="A185" s="171"/>
      <c r="B185" s="172"/>
      <c r="C185" s="171"/>
      <c r="D185" s="172"/>
      <c r="E185" s="173"/>
      <c r="F185" s="6"/>
    </row>
    <row r="186" spans="1:6">
      <c r="A186" s="171"/>
      <c r="B186" s="172"/>
      <c r="C186" s="171"/>
      <c r="D186" s="172"/>
      <c r="E186" s="173"/>
      <c r="F186" s="6"/>
    </row>
    <row r="187" spans="1:6">
      <c r="A187" s="171"/>
      <c r="B187" s="172"/>
      <c r="C187" s="171"/>
      <c r="D187" s="172"/>
      <c r="E187" s="173"/>
      <c r="F187" s="6"/>
    </row>
    <row r="188" spans="1:6">
      <c r="A188" s="171"/>
      <c r="B188" s="172"/>
      <c r="C188" s="171"/>
      <c r="D188" s="172"/>
      <c r="E188" s="173"/>
      <c r="F188" s="6"/>
    </row>
    <row r="189" spans="1:6">
      <c r="A189" s="171"/>
      <c r="B189" s="172"/>
      <c r="C189" s="171"/>
      <c r="D189" s="172"/>
      <c r="E189" s="173"/>
      <c r="F189" s="6"/>
    </row>
    <row r="190" spans="1:6">
      <c r="A190" s="171"/>
      <c r="B190" s="172"/>
      <c r="C190" s="171"/>
      <c r="D190" s="172"/>
      <c r="E190" s="173"/>
      <c r="F190" s="6"/>
    </row>
    <row r="191" spans="1:6">
      <c r="A191" s="171"/>
      <c r="B191" s="172"/>
      <c r="C191" s="171"/>
      <c r="D191" s="172"/>
      <c r="E191" s="173"/>
      <c r="F191" s="6"/>
    </row>
    <row r="192" spans="1:6">
      <c r="A192" s="171"/>
      <c r="B192" s="172"/>
      <c r="C192" s="171"/>
      <c r="D192" s="172"/>
      <c r="E192" s="173"/>
      <c r="F192" s="6"/>
    </row>
    <row r="193" spans="1:6">
      <c r="A193" s="171"/>
      <c r="B193" s="172"/>
      <c r="C193" s="171"/>
      <c r="D193" s="172"/>
      <c r="E193" s="173"/>
      <c r="F193" s="6"/>
    </row>
    <row r="194" spans="1:6">
      <c r="A194" s="171"/>
      <c r="B194" s="172"/>
      <c r="C194" s="171"/>
      <c r="D194" s="172"/>
      <c r="E194" s="173"/>
      <c r="F194" s="6"/>
    </row>
    <row r="195" spans="1:6">
      <c r="A195" s="171"/>
      <c r="B195" s="172"/>
      <c r="C195" s="171"/>
      <c r="D195" s="172"/>
      <c r="E195" s="173"/>
      <c r="F195" s="6"/>
    </row>
    <row r="196" spans="1:6">
      <c r="A196" s="171"/>
      <c r="B196" s="172"/>
      <c r="C196" s="171"/>
      <c r="D196" s="172"/>
      <c r="E196" s="173"/>
      <c r="F196" s="6"/>
    </row>
    <row r="197" spans="1:6">
      <c r="A197" s="171"/>
      <c r="B197" s="172"/>
      <c r="C197" s="171"/>
      <c r="D197" s="172"/>
      <c r="E197" s="173"/>
      <c r="F197" s="6"/>
    </row>
    <row r="198" spans="1:6">
      <c r="A198" s="171"/>
      <c r="B198" s="172"/>
      <c r="C198" s="176"/>
      <c r="D198" s="177"/>
      <c r="E198" s="178"/>
      <c r="F198" s="6"/>
    </row>
    <row r="199" spans="1:6">
      <c r="A199" s="171"/>
      <c r="B199" s="172"/>
      <c r="C199" s="171"/>
      <c r="D199" s="172"/>
      <c r="E199" s="173"/>
      <c r="F199" s="6"/>
    </row>
    <row r="200" spans="1:6">
      <c r="A200" s="171"/>
      <c r="B200" s="172"/>
      <c r="C200" s="171"/>
      <c r="D200" s="172"/>
      <c r="E200" s="173"/>
      <c r="F200" s="6"/>
    </row>
    <row r="201" spans="1:6">
      <c r="A201" s="171"/>
      <c r="B201" s="172"/>
      <c r="C201" s="171"/>
      <c r="D201" s="172"/>
      <c r="E201" s="173"/>
      <c r="F201" s="6"/>
    </row>
    <row r="202" spans="1:6">
      <c r="A202" s="171"/>
      <c r="B202" s="172"/>
      <c r="C202" s="171"/>
      <c r="D202" s="172"/>
      <c r="E202" s="173"/>
      <c r="F202" s="6"/>
    </row>
    <row r="203" spans="1:6">
      <c r="A203" s="171"/>
      <c r="B203" s="172"/>
      <c r="C203" s="171"/>
      <c r="D203" s="172"/>
      <c r="E203" s="173"/>
      <c r="F203" s="6"/>
    </row>
    <row r="204" spans="6:6">
      <c r="F204" s="6"/>
    </row>
  </sheetData>
  <mergeCells count="111">
    <mergeCell ref="F2:G2"/>
    <mergeCell ref="A2:A3"/>
    <mergeCell ref="A8:A10"/>
    <mergeCell ref="A11:A18"/>
    <mergeCell ref="A19:A21"/>
    <mergeCell ref="A22:A23"/>
    <mergeCell ref="A24:A28"/>
    <mergeCell ref="A30:A32"/>
    <mergeCell ref="A33:A34"/>
    <mergeCell ref="A35:A36"/>
    <mergeCell ref="A37:A38"/>
    <mergeCell ref="A39:A40"/>
    <mergeCell ref="A41:A43"/>
    <mergeCell ref="A44:A46"/>
    <mergeCell ref="A47:A48"/>
    <mergeCell ref="A49:A51"/>
    <mergeCell ref="A52:A53"/>
    <mergeCell ref="A54:A56"/>
    <mergeCell ref="A57:A59"/>
    <mergeCell ref="A61:A67"/>
    <mergeCell ref="A69:A73"/>
    <mergeCell ref="A74:A77"/>
    <mergeCell ref="A78:A80"/>
    <mergeCell ref="A81:A84"/>
    <mergeCell ref="A85:A89"/>
    <mergeCell ref="A90:A91"/>
    <mergeCell ref="A92:A102"/>
    <mergeCell ref="A104:A105"/>
    <mergeCell ref="A109:A111"/>
    <mergeCell ref="A112:A119"/>
    <mergeCell ref="A120:A122"/>
    <mergeCell ref="A123:A124"/>
    <mergeCell ref="A125:A129"/>
    <mergeCell ref="A131:A133"/>
    <mergeCell ref="A134:A135"/>
    <mergeCell ref="A136:A137"/>
    <mergeCell ref="A138:A139"/>
    <mergeCell ref="A140:A141"/>
    <mergeCell ref="A142:A144"/>
    <mergeCell ref="A145:A147"/>
    <mergeCell ref="A148:A149"/>
    <mergeCell ref="A150:A152"/>
    <mergeCell ref="A153:A154"/>
    <mergeCell ref="A155:A157"/>
    <mergeCell ref="A158:A160"/>
    <mergeCell ref="A162:A168"/>
    <mergeCell ref="A170:A174"/>
    <mergeCell ref="A175:A178"/>
    <mergeCell ref="A179:A181"/>
    <mergeCell ref="A182:A185"/>
    <mergeCell ref="A186:A190"/>
    <mergeCell ref="A191:A192"/>
    <mergeCell ref="A193:A203"/>
    <mergeCell ref="B2:B3"/>
    <mergeCell ref="B8:B10"/>
    <mergeCell ref="B11:B18"/>
    <mergeCell ref="B19:B21"/>
    <mergeCell ref="B22:B23"/>
    <mergeCell ref="B24:B28"/>
    <mergeCell ref="B30:B32"/>
    <mergeCell ref="B33:B34"/>
    <mergeCell ref="B35:B36"/>
    <mergeCell ref="B37:B38"/>
    <mergeCell ref="B39:B40"/>
    <mergeCell ref="B41:B43"/>
    <mergeCell ref="B44:B46"/>
    <mergeCell ref="B47:B48"/>
    <mergeCell ref="B49:B51"/>
    <mergeCell ref="B52:B53"/>
    <mergeCell ref="B54:B56"/>
    <mergeCell ref="B57:B59"/>
    <mergeCell ref="B61:B67"/>
    <mergeCell ref="B69:B73"/>
    <mergeCell ref="B74:B77"/>
    <mergeCell ref="B78:B80"/>
    <mergeCell ref="B81:B84"/>
    <mergeCell ref="B85:B89"/>
    <mergeCell ref="B90:B91"/>
    <mergeCell ref="B92:B102"/>
    <mergeCell ref="B104:B105"/>
    <mergeCell ref="B109:B111"/>
    <mergeCell ref="B112:B119"/>
    <mergeCell ref="B120:B122"/>
    <mergeCell ref="B123:B124"/>
    <mergeCell ref="B125:B129"/>
    <mergeCell ref="B131:B133"/>
    <mergeCell ref="B134:B135"/>
    <mergeCell ref="B136:B137"/>
    <mergeCell ref="B138:B139"/>
    <mergeCell ref="B140:B141"/>
    <mergeCell ref="B142:B144"/>
    <mergeCell ref="B145:B147"/>
    <mergeCell ref="B148:B149"/>
    <mergeCell ref="B150:B152"/>
    <mergeCell ref="B153:B154"/>
    <mergeCell ref="B155:B157"/>
    <mergeCell ref="B158:B160"/>
    <mergeCell ref="B162:B168"/>
    <mergeCell ref="B170:B174"/>
    <mergeCell ref="B175:B178"/>
    <mergeCell ref="B179:B181"/>
    <mergeCell ref="B182:B185"/>
    <mergeCell ref="B186:B190"/>
    <mergeCell ref="B191:B192"/>
    <mergeCell ref="B193:B203"/>
    <mergeCell ref="C2:C3"/>
    <mergeCell ref="C104:C105"/>
    <mergeCell ref="D2:D3"/>
    <mergeCell ref="D104:D105"/>
    <mergeCell ref="E2:E3"/>
    <mergeCell ref="E104:E105"/>
  </mergeCells>
  <pageMargins left="0.7" right="0.7" top="0.75" bottom="0.75" header="0.3" footer="0.3"/>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3:AA154"/>
  <sheetViews>
    <sheetView workbookViewId="0">
      <selection activeCell="C21" sqref="C21"/>
    </sheetView>
  </sheetViews>
  <sheetFormatPr defaultColWidth="9.73333333333333" defaultRowHeight="13.5"/>
  <cols>
    <col min="1" max="1" width="9.86666666666667" style="1" customWidth="1"/>
    <col min="2" max="2" width="16" style="1" customWidth="1"/>
    <col min="3" max="5" width="13.4" style="1" customWidth="1"/>
    <col min="6" max="6" width="12.1333333333333" style="1" customWidth="1"/>
    <col min="7" max="7" width="12.7333333333333" style="1" customWidth="1"/>
    <col min="8" max="8" width="12.2666666666667" style="1" customWidth="1"/>
    <col min="9" max="9" width="12.4" style="1" customWidth="1"/>
    <col min="10" max="10" width="15.4" style="1" customWidth="1"/>
    <col min="11" max="11" width="15.4" style="106" customWidth="1"/>
    <col min="12" max="12" width="13.4" style="1" customWidth="1"/>
    <col min="13" max="13" width="11.7333333333333" style="1" customWidth="1"/>
    <col min="14" max="15" width="11.2666666666667" style="1" customWidth="1"/>
    <col min="16" max="16" width="12.4" style="1" customWidth="1"/>
    <col min="17" max="17" width="13.7333333333333" style="1" customWidth="1"/>
    <col min="18" max="21" width="11.2666666666667" style="1" customWidth="1"/>
    <col min="22" max="22" width="11.4" style="1" customWidth="1"/>
    <col min="23" max="23" width="15.2666666666667" style="1" customWidth="1"/>
    <col min="24" max="25" width="14.4" style="1" customWidth="1"/>
    <col min="26" max="16384" width="9.73333333333333" style="1"/>
  </cols>
  <sheetData>
    <row r="3" spans="2:17">
      <c r="B3" s="8" t="s">
        <v>667</v>
      </c>
      <c r="C3" s="8">
        <v>1</v>
      </c>
      <c r="D3" s="8">
        <v>2</v>
      </c>
      <c r="E3" s="8">
        <v>3</v>
      </c>
      <c r="F3" s="8">
        <v>4</v>
      </c>
      <c r="G3" s="8">
        <v>5</v>
      </c>
      <c r="H3" s="8">
        <v>6</v>
      </c>
      <c r="I3" s="8">
        <v>7</v>
      </c>
      <c r="J3" s="8">
        <v>8</v>
      </c>
      <c r="K3" s="118">
        <v>9</v>
      </c>
      <c r="L3" s="8">
        <v>10</v>
      </c>
      <c r="M3" s="118">
        <v>11</v>
      </c>
      <c r="N3" s="8">
        <v>12</v>
      </c>
      <c r="O3" s="118">
        <v>13</v>
      </c>
      <c r="P3" s="8">
        <v>14</v>
      </c>
      <c r="Q3" s="118">
        <v>15</v>
      </c>
    </row>
    <row r="4" spans="2:17">
      <c r="B4" s="8"/>
      <c r="C4" s="107">
        <f>N27</f>
        <v>-61.3090832097668</v>
      </c>
      <c r="D4" s="107">
        <f>N28</f>
        <v>-61.3090832097668</v>
      </c>
      <c r="E4" s="107">
        <f>N29</f>
        <v>-61.3090832097668</v>
      </c>
      <c r="F4" s="107">
        <f>N30</f>
        <v>-61.3090832097668</v>
      </c>
      <c r="G4" s="107">
        <f>N31</f>
        <v>-58.7755832097668</v>
      </c>
      <c r="H4" s="107">
        <f>N32</f>
        <v>0</v>
      </c>
      <c r="I4" s="107">
        <f>N33</f>
        <v>0</v>
      </c>
      <c r="J4" s="107">
        <f>N34</f>
        <v>0</v>
      </c>
      <c r="K4" s="19">
        <f>N35</f>
        <v>0</v>
      </c>
      <c r="L4" s="107">
        <f>N36</f>
        <v>0</v>
      </c>
      <c r="M4" s="8"/>
      <c r="N4" s="8"/>
      <c r="O4" s="8"/>
      <c r="P4" s="8"/>
      <c r="Q4" s="8"/>
    </row>
    <row r="5" spans="2:17">
      <c r="B5" s="8" t="s">
        <v>668</v>
      </c>
      <c r="C5" s="8">
        <v>1</v>
      </c>
      <c r="D5" s="8">
        <v>2</v>
      </c>
      <c r="E5" s="8">
        <v>3</v>
      </c>
      <c r="F5" s="8">
        <v>4</v>
      </c>
      <c r="G5" s="8">
        <v>5</v>
      </c>
      <c r="H5" s="8">
        <v>6</v>
      </c>
      <c r="I5" s="8">
        <v>7</v>
      </c>
      <c r="J5" s="8">
        <v>8</v>
      </c>
      <c r="K5" s="118">
        <v>9</v>
      </c>
      <c r="L5" s="8">
        <v>10</v>
      </c>
      <c r="M5" s="8"/>
      <c r="N5" s="8"/>
      <c r="O5" s="8"/>
      <c r="P5" s="8"/>
      <c r="Q5" s="8"/>
    </row>
    <row r="6" spans="2:17">
      <c r="B6" s="8"/>
      <c r="C6" s="107">
        <f>X27</f>
        <v>-58.8467427960772</v>
      </c>
      <c r="D6" s="107">
        <f>X28</f>
        <v>-59.2481664565656</v>
      </c>
      <c r="E6" s="107">
        <f>X29</f>
        <v>-59.6743490500636</v>
      </c>
      <c r="F6" s="107">
        <f>X30</f>
        <v>-60.1268176533832</v>
      </c>
      <c r="G6" s="107">
        <f>X31</f>
        <v>-58.504388530093</v>
      </c>
      <c r="H6" s="107">
        <f>X32</f>
        <v>0</v>
      </c>
      <c r="I6" s="107">
        <f>X33</f>
        <v>0</v>
      </c>
      <c r="J6" s="107">
        <f>X34</f>
        <v>0</v>
      </c>
      <c r="K6" s="19">
        <f>X35</f>
        <v>0</v>
      </c>
      <c r="L6" s="107">
        <f>X36</f>
        <v>0</v>
      </c>
      <c r="M6" s="8"/>
      <c r="N6" s="8"/>
      <c r="O6" s="8"/>
      <c r="P6" s="8"/>
      <c r="Q6" s="8"/>
    </row>
    <row r="7" s="1" customFormat="1" spans="2:17">
      <c r="B7" s="8" t="s">
        <v>232</v>
      </c>
      <c r="C7" s="107">
        <f>-C4+C6</f>
        <v>2.46234041368955</v>
      </c>
      <c r="D7" s="107">
        <f t="shared" ref="D7:J7" si="0">-D4+D6</f>
        <v>2.06091675320115</v>
      </c>
      <c r="E7" s="107">
        <f t="shared" si="0"/>
        <v>1.63473415970319</v>
      </c>
      <c r="F7" s="107">
        <f t="shared" si="0"/>
        <v>1.18226555638353</v>
      </c>
      <c r="G7" s="107">
        <f t="shared" si="0"/>
        <v>0.271194679673734</v>
      </c>
      <c r="H7" s="107">
        <f t="shared" si="0"/>
        <v>0</v>
      </c>
      <c r="I7" s="107">
        <f t="shared" si="0"/>
        <v>0</v>
      </c>
      <c r="J7" s="107">
        <f t="shared" si="0"/>
        <v>0</v>
      </c>
      <c r="K7" s="119"/>
      <c r="L7" s="120"/>
      <c r="M7" s="7"/>
      <c r="N7" s="7"/>
      <c r="O7" s="7"/>
      <c r="P7" s="7"/>
      <c r="Q7" s="7"/>
    </row>
    <row r="8" s="1" customFormat="1" spans="2:17">
      <c r="B8" s="8" t="s">
        <v>207</v>
      </c>
      <c r="C8" s="107">
        <f>-SUM(F27:F38)</f>
        <v>44.7930824214329</v>
      </c>
      <c r="D8" s="107">
        <f>-SUM(F39:F50)</f>
        <v>47.5558217318531</v>
      </c>
      <c r="E8" s="107">
        <f>-SUM(F51:F62)</f>
        <v>50.488960757692</v>
      </c>
      <c r="F8" s="107">
        <f>-SUM(F63:F74)</f>
        <v>53.603009380539</v>
      </c>
      <c r="G8" s="107">
        <f>-SUM(F75:F86)</f>
        <v>56.9091257084829</v>
      </c>
      <c r="H8" s="107">
        <f>-SUM(F87:F98)</f>
        <v>0</v>
      </c>
      <c r="I8" s="107">
        <f>-SUM(F99:F110)</f>
        <v>0</v>
      </c>
      <c r="J8" s="107">
        <f>-SUM(F111:F122)</f>
        <v>0</v>
      </c>
      <c r="K8" s="119"/>
      <c r="L8" s="120"/>
      <c r="M8" s="7"/>
      <c r="N8" s="7"/>
      <c r="O8" s="7"/>
      <c r="P8" s="7"/>
      <c r="Q8" s="7"/>
    </row>
    <row r="9" s="1" customFormat="1" spans="2:17">
      <c r="B9" s="8" t="s">
        <v>208</v>
      </c>
      <c r="C9" s="107">
        <f>-SUM(G27:G38)</f>
        <v>13.9825007883338</v>
      </c>
      <c r="D9" s="107">
        <f>-SUM(G39:G50)</f>
        <v>11.2197614779137</v>
      </c>
      <c r="E9" s="107">
        <f>-SUM(G51:G62)</f>
        <v>8.28662245207475</v>
      </c>
      <c r="F9" s="107">
        <f>-SUM(G63:G74)</f>
        <v>5.17257382922772</v>
      </c>
      <c r="G9" s="107">
        <f>-SUM(G75:G86)</f>
        <v>1.86645750128383</v>
      </c>
      <c r="H9" s="107">
        <f>-SUM(G87:G98)</f>
        <v>0</v>
      </c>
      <c r="I9" s="107">
        <f>-SUM(G99:G110)</f>
        <v>0</v>
      </c>
      <c r="J9" s="107">
        <f>-SUM(G111:G122)</f>
        <v>0</v>
      </c>
      <c r="K9" s="119"/>
      <c r="L9" s="120"/>
      <c r="M9" s="7"/>
      <c r="N9" s="7"/>
      <c r="O9" s="7"/>
      <c r="P9" s="7"/>
      <c r="Q9" s="7"/>
    </row>
    <row r="10" s="1" customFormat="1" spans="2:17">
      <c r="B10" s="8" t="s">
        <v>107</v>
      </c>
      <c r="C10" s="107">
        <f>-SUM(H27:H38)</f>
        <v>2.5335</v>
      </c>
      <c r="D10" s="107">
        <f>-SUM(H39:H50)</f>
        <v>2.5335</v>
      </c>
      <c r="E10" s="107">
        <f>-SUM(H51:H62)</f>
        <v>2.5335</v>
      </c>
      <c r="F10" s="107">
        <f>-SUM(H63:H74)</f>
        <v>2.5335</v>
      </c>
      <c r="G10" s="107">
        <f>-SUM(H75:H86)</f>
        <v>0</v>
      </c>
      <c r="H10" s="107">
        <f>-SUM(H87:H98)</f>
        <v>0</v>
      </c>
      <c r="I10" s="107">
        <f>-SUM(H99:H110)</f>
        <v>0</v>
      </c>
      <c r="J10" s="107">
        <f>-SUM(H111:H122)</f>
        <v>0</v>
      </c>
      <c r="K10" s="119"/>
      <c r="L10" s="120"/>
      <c r="M10" s="7"/>
      <c r="N10" s="7"/>
      <c r="O10" s="7"/>
      <c r="P10" s="7"/>
      <c r="Q10" s="7"/>
    </row>
    <row r="12" spans="15:20">
      <c r="O12" s="121"/>
      <c r="P12" s="8" t="s">
        <v>669</v>
      </c>
      <c r="Q12" s="131">
        <f>NPV(0.06,Q15:U15)</f>
        <v>-19587.4605733511</v>
      </c>
      <c r="R12" s="121"/>
      <c r="S12" s="121"/>
      <c r="T12" s="121"/>
    </row>
    <row r="13" ht="20.55" customHeight="1" spans="2:26">
      <c r="B13" s="8"/>
      <c r="C13" s="8" t="s">
        <v>670</v>
      </c>
      <c r="D13" s="8"/>
      <c r="E13" s="8" t="s">
        <v>671</v>
      </c>
      <c r="J13" s="122" t="s">
        <v>672</v>
      </c>
      <c r="K13" s="123" t="s">
        <v>673</v>
      </c>
      <c r="P13" s="19" t="s">
        <v>667</v>
      </c>
      <c r="Q13" s="118">
        <v>1</v>
      </c>
      <c r="R13" s="118">
        <v>2</v>
      </c>
      <c r="S13" s="118">
        <v>3</v>
      </c>
      <c r="T13" s="118">
        <v>4</v>
      </c>
      <c r="U13" s="118">
        <v>5</v>
      </c>
      <c r="V13" s="132">
        <v>6</v>
      </c>
      <c r="W13" s="132">
        <v>7</v>
      </c>
      <c r="X13" s="132">
        <v>8</v>
      </c>
      <c r="Y13" s="132">
        <v>9</v>
      </c>
      <c r="Z13" s="132">
        <v>10</v>
      </c>
    </row>
    <row r="14" ht="21.75" spans="2:26">
      <c r="B14" s="108" t="s">
        <v>674</v>
      </c>
      <c r="C14" s="8">
        <f>'储能-设备工程参数'!E25</f>
        <v>361.928571428571</v>
      </c>
      <c r="D14" s="8"/>
      <c r="E14" s="8">
        <f>C14</f>
        <v>361.928571428571</v>
      </c>
      <c r="J14" s="124" t="s">
        <v>675</v>
      </c>
      <c r="K14" s="125">
        <v>4.35</v>
      </c>
      <c r="P14" s="19"/>
      <c r="Q14" s="19">
        <v>-5401.54550777336</v>
      </c>
      <c r="R14" s="19">
        <v>-5401.54550777336</v>
      </c>
      <c r="S14" s="19">
        <v>-5401.54550777336</v>
      </c>
      <c r="T14" s="19">
        <v>-5401.54550777336</v>
      </c>
      <c r="U14" s="19">
        <v>-4077.46550777336</v>
      </c>
      <c r="V14" s="106">
        <v>0</v>
      </c>
      <c r="W14" s="106">
        <v>0</v>
      </c>
      <c r="X14" s="106">
        <v>0</v>
      </c>
      <c r="Y14" s="106">
        <v>0</v>
      </c>
      <c r="Z14" s="106">
        <v>0</v>
      </c>
    </row>
    <row r="15" ht="21.75" spans="2:21">
      <c r="B15" s="8" t="s">
        <v>676</v>
      </c>
      <c r="C15" s="8">
        <f>C14*'储能-投资参数'!C23</f>
        <v>253.35</v>
      </c>
      <c r="D15" s="8"/>
      <c r="E15" s="8">
        <f>C15</f>
        <v>253.35</v>
      </c>
      <c r="J15" s="124" t="s">
        <v>677</v>
      </c>
      <c r="K15" s="125">
        <v>4.35</v>
      </c>
      <c r="P15" s="8" t="s">
        <v>678</v>
      </c>
      <c r="Q15" s="19">
        <f>Q14*0.9</f>
        <v>-4861.39095699603</v>
      </c>
      <c r="R15" s="19">
        <f t="shared" ref="R15:U15" si="1">R14*0.9</f>
        <v>-4861.39095699603</v>
      </c>
      <c r="S15" s="19">
        <f t="shared" si="1"/>
        <v>-4861.39095699603</v>
      </c>
      <c r="T15" s="19">
        <f t="shared" si="1"/>
        <v>-4861.39095699603</v>
      </c>
      <c r="U15" s="19">
        <f t="shared" si="1"/>
        <v>-3669.71895699603</v>
      </c>
    </row>
    <row r="16" spans="2:21">
      <c r="B16" s="8" t="s">
        <v>679</v>
      </c>
      <c r="C16" s="8">
        <f>'储能-投资参数'!C24*12</f>
        <v>60</v>
      </c>
      <c r="D16" s="8"/>
      <c r="E16" s="8">
        <f>C16</f>
        <v>60</v>
      </c>
      <c r="J16" s="124" t="s">
        <v>680</v>
      </c>
      <c r="K16" s="125">
        <v>4.75</v>
      </c>
      <c r="P16" s="8" t="s">
        <v>681</v>
      </c>
      <c r="Q16" s="19">
        <v>-1801.80175825288</v>
      </c>
      <c r="R16" s="19">
        <v>-466.676103973766</v>
      </c>
      <c r="S16" s="19">
        <v>-543.364709399157</v>
      </c>
      <c r="T16" s="19">
        <v>-621.713740814468</v>
      </c>
      <c r="U16" s="19">
        <v>622.239425055558</v>
      </c>
    </row>
    <row r="17" spans="2:11">
      <c r="B17" s="8" t="s">
        <v>100</v>
      </c>
      <c r="C17" s="8">
        <f>'储能-投资参数'!C25*12</f>
        <v>0</v>
      </c>
      <c r="D17" s="8"/>
      <c r="E17" s="8">
        <f>C17</f>
        <v>0</v>
      </c>
      <c r="J17" s="124" t="s">
        <v>682</v>
      </c>
      <c r="K17" s="125">
        <v>4.75</v>
      </c>
    </row>
    <row r="18" spans="2:11">
      <c r="B18" s="8" t="s">
        <v>683</v>
      </c>
      <c r="C18" s="109">
        <f>'储能-投资参数'!C22</f>
        <v>0.06</v>
      </c>
      <c r="D18" s="109"/>
      <c r="E18" s="109">
        <f>C18</f>
        <v>0.06</v>
      </c>
      <c r="J18" s="124" t="s">
        <v>684</v>
      </c>
      <c r="K18" s="125">
        <v>4.9</v>
      </c>
    </row>
    <row r="19" spans="2:5">
      <c r="B19" s="8" t="s">
        <v>107</v>
      </c>
      <c r="C19" s="24">
        <f>C15*'储能-投资参数'!C28</f>
        <v>2.5335</v>
      </c>
      <c r="D19" s="8"/>
      <c r="E19" s="8">
        <f>E15*2.6%</f>
        <v>6.5871</v>
      </c>
    </row>
    <row r="20" s="1" customFormat="1" spans="2:11">
      <c r="B20" s="8" t="s">
        <v>109</v>
      </c>
      <c r="C20" s="8">
        <f>'储能-投资参数'!C29</f>
        <v>4</v>
      </c>
      <c r="D20" s="8"/>
      <c r="E20" s="8"/>
      <c r="K20" s="106"/>
    </row>
    <row r="21" spans="2:5">
      <c r="B21" s="8" t="s">
        <v>104</v>
      </c>
      <c r="C21" s="24">
        <f>C15*'储能-投资参数'!C27</f>
        <v>0</v>
      </c>
      <c r="D21" s="8"/>
      <c r="E21" s="8">
        <f>E15*6%</f>
        <v>15.201</v>
      </c>
    </row>
    <row r="22" spans="2:5">
      <c r="B22" s="7"/>
      <c r="D22" s="7"/>
      <c r="E22" s="7"/>
    </row>
    <row r="23" ht="19.05" customHeight="1" spans="2:23">
      <c r="B23" s="11" t="s">
        <v>685</v>
      </c>
      <c r="C23" s="7"/>
      <c r="O23" s="99" t="s">
        <v>686</v>
      </c>
      <c r="P23" s="126"/>
      <c r="Q23" s="126"/>
      <c r="R23" s="126"/>
      <c r="S23" s="126"/>
      <c r="T23" s="126"/>
      <c r="V23" s="11" t="s">
        <v>685</v>
      </c>
      <c r="W23" s="110">
        <f>IRR(W26:W146,)</f>
        <v>0.00532283475097706</v>
      </c>
    </row>
    <row r="24" ht="18.5" customHeight="1" spans="2:24">
      <c r="B24" s="11" t="s">
        <v>687</v>
      </c>
      <c r="C24" s="110">
        <f>IRR(C27:C147,)</f>
        <v>0.00626666645374829</v>
      </c>
      <c r="D24" s="111">
        <f>(1+C24)^12-1</f>
        <v>0.0778468034780084</v>
      </c>
      <c r="O24" s="126" t="s">
        <v>688</v>
      </c>
      <c r="P24" s="127">
        <f>C18/12</f>
        <v>0.005</v>
      </c>
      <c r="Q24" s="126" t="s">
        <v>689</v>
      </c>
      <c r="R24" s="130">
        <f>C15</f>
        <v>253.35</v>
      </c>
      <c r="S24" s="126" t="s">
        <v>690</v>
      </c>
      <c r="T24" s="126">
        <f>C16-C17</f>
        <v>60</v>
      </c>
      <c r="V24" s="11" t="s">
        <v>687</v>
      </c>
      <c r="W24" s="112">
        <f>W23*12</f>
        <v>0.0638740170117247</v>
      </c>
      <c r="X24" s="111">
        <f>(1+W23)^12-1</f>
        <v>0.065777545485534</v>
      </c>
    </row>
    <row r="25" ht="20.55" customHeight="1" spans="2:27">
      <c r="B25" s="8" t="s">
        <v>690</v>
      </c>
      <c r="C25" s="112">
        <f>C24*12</f>
        <v>0.0751999974449795</v>
      </c>
      <c r="D25" s="8" t="s">
        <v>691</v>
      </c>
      <c r="E25" s="8" t="s">
        <v>692</v>
      </c>
      <c r="F25" s="8" t="s">
        <v>693</v>
      </c>
      <c r="G25" s="8" t="s">
        <v>694</v>
      </c>
      <c r="H25" s="8" t="s">
        <v>107</v>
      </c>
      <c r="I25" s="8" t="s">
        <v>104</v>
      </c>
      <c r="J25" s="8" t="s">
        <v>695</v>
      </c>
      <c r="K25" s="19" t="s">
        <v>696</v>
      </c>
      <c r="M25" s="1" t="s">
        <v>697</v>
      </c>
      <c r="N25" s="1" t="s">
        <v>698</v>
      </c>
      <c r="O25" s="99" t="s">
        <v>699</v>
      </c>
      <c r="P25" s="99"/>
      <c r="Q25" s="99"/>
      <c r="R25" s="99"/>
      <c r="S25" s="126"/>
      <c r="T25" s="126"/>
      <c r="W25" s="8" t="s">
        <v>700</v>
      </c>
      <c r="X25" s="13">
        <f>IRR(X26:X36)</f>
        <v>0.0546821960039068</v>
      </c>
      <c r="Y25" s="136"/>
      <c r="Z25" s="136"/>
      <c r="AA25" s="136"/>
    </row>
    <row r="26" ht="17.55" customHeight="1" spans="1:27">
      <c r="A26" s="20" t="s">
        <v>701</v>
      </c>
      <c r="B26" s="8">
        <v>0</v>
      </c>
      <c r="C26" s="8" t="s">
        <v>702</v>
      </c>
      <c r="D26" s="107">
        <f>E15</f>
        <v>253.35</v>
      </c>
      <c r="E26" s="20"/>
      <c r="F26" s="20"/>
      <c r="G26" s="20"/>
      <c r="H26" s="20"/>
      <c r="I26" s="20">
        <f>-C21</f>
        <v>0</v>
      </c>
      <c r="J26" s="20"/>
      <c r="K26" s="128"/>
      <c r="M26" s="129"/>
      <c r="O26" s="99" t="s">
        <v>690</v>
      </c>
      <c r="P26" s="99" t="s">
        <v>703</v>
      </c>
      <c r="Q26" s="99" t="s">
        <v>704</v>
      </c>
      <c r="R26" s="99" t="s">
        <v>705</v>
      </c>
      <c r="S26" s="126"/>
      <c r="T26" s="126"/>
      <c r="W26" s="133">
        <f>SUM(D26:K26)</f>
        <v>253.35</v>
      </c>
      <c r="X26" s="107">
        <f>W26</f>
        <v>253.35</v>
      </c>
      <c r="Y26" s="137"/>
      <c r="Z26" s="136"/>
      <c r="AA26" s="136"/>
    </row>
    <row r="27" ht="14.25" spans="1:27">
      <c r="A27" s="113" t="s">
        <v>706</v>
      </c>
      <c r="B27" s="8">
        <v>1</v>
      </c>
      <c r="C27" s="107">
        <f>C15-C21</f>
        <v>253.35</v>
      </c>
      <c r="D27" s="114">
        <f>D26+F27</f>
        <v>249.718784732519</v>
      </c>
      <c r="E27" s="115">
        <f>SUM(F27:G27)</f>
        <v>-4.89796526748056</v>
      </c>
      <c r="F27" s="116">
        <f>IF(B27&lt;$C$17,0,IF(B27=$C$17,-$C$15*#REF!,-P27))</f>
        <v>-3.63121526748056</v>
      </c>
      <c r="G27" s="114">
        <f>IF(B27&lt;=$C$17,-$D$27*$C$18/12,-Q27)</f>
        <v>-1.26675</v>
      </c>
      <c r="H27" s="113">
        <f>IF(((B27-1)/12+1)&lt;=$C$20,-$C$19,0)</f>
        <v>-2.5335</v>
      </c>
      <c r="I27" s="114">
        <f>IF(B27=$C$16,-$I$26,)</f>
        <v>0</v>
      </c>
      <c r="J27" s="114">
        <f>-G27/1.17*17%</f>
        <v>0.184057692307692</v>
      </c>
      <c r="K27" s="116">
        <f>-H27*17%</f>
        <v>0.430695</v>
      </c>
      <c r="M27" s="129"/>
      <c r="N27" s="129">
        <f>SUM(C28:C39)</f>
        <v>-61.3090832097668</v>
      </c>
      <c r="O27" s="126">
        <v>1</v>
      </c>
      <c r="P27" s="130">
        <f t="shared" ref="P27:P87" si="2">IF(B27&lt;=$C$17,0,IF(B27&gt;$C$16,0,PPMT($P$24,O27-$C$17,$T$24,-$R$24)))</f>
        <v>3.63121526748056</v>
      </c>
      <c r="Q27" s="130">
        <f t="shared" ref="Q27:Q88" si="3">IF(B27&lt;=$C$17,0,IF(B27&gt;$C$16,0,IF(Q26=0,PRODUCT($R$24,$P$24),R27-P27)))</f>
        <v>1.26675</v>
      </c>
      <c r="R27" s="134">
        <f t="shared" ref="R27:R87" si="4">IF(B27&lt;=$C$17,0,IF(B27&gt;$C$16,0,PMT($P$24,$T$24,-$R$24)))</f>
        <v>4.89796526748056</v>
      </c>
      <c r="S27" s="126"/>
      <c r="T27" s="126"/>
      <c r="W27" s="133">
        <f t="shared" ref="W27:W58" si="5">SUM(F27:K27)</f>
        <v>-6.81671257517287</v>
      </c>
      <c r="X27" s="107">
        <f>SUM(W27:W38)</f>
        <v>-58.8467427960772</v>
      </c>
      <c r="Y27" s="138"/>
      <c r="Z27" s="136"/>
      <c r="AA27" s="136"/>
    </row>
    <row r="28" ht="14.25" spans="1:27">
      <c r="A28" s="113" t="s">
        <v>707</v>
      </c>
      <c r="B28" s="8">
        <v>2</v>
      </c>
      <c r="C28" s="114">
        <f>SUM(F27:I27)</f>
        <v>-7.43146526748056</v>
      </c>
      <c r="D28" s="114">
        <f t="shared" ref="D28:D91" si="6">D27+F28</f>
        <v>246.069413388701</v>
      </c>
      <c r="E28" s="115">
        <f t="shared" ref="E28:E91" si="7">SUM(F28:G28)</f>
        <v>-4.89796526748056</v>
      </c>
      <c r="F28" s="116">
        <f>IF(B28&lt;$C$17,0,IF(B28=$C$17,-$C$15*#REF!,-P28))</f>
        <v>-3.64937134381796</v>
      </c>
      <c r="G28" s="114">
        <f t="shared" ref="G28:G91" si="8">IF(B28&lt;=$C$17,-$D$27*$C$18/12,-Q28)</f>
        <v>-1.2485939236626</v>
      </c>
      <c r="H28" s="113"/>
      <c r="I28" s="114">
        <f t="shared" ref="I28:I91" si="9">IF(B28=$C$16,-$I$26,)</f>
        <v>0</v>
      </c>
      <c r="J28" s="114">
        <f t="shared" ref="J28:J91" si="10">-G28/1.17*17%</f>
        <v>0.181419629933882</v>
      </c>
      <c r="K28" s="116"/>
      <c r="M28" s="129"/>
      <c r="N28" s="129">
        <f>SUM(C40:C51)</f>
        <v>-61.3090832097668</v>
      </c>
      <c r="O28" s="126">
        <v>2</v>
      </c>
      <c r="P28" s="130">
        <f t="shared" si="2"/>
        <v>3.64937134381796</v>
      </c>
      <c r="Q28" s="130">
        <f t="shared" si="3"/>
        <v>1.2485939236626</v>
      </c>
      <c r="R28" s="134">
        <f t="shared" si="4"/>
        <v>4.89796526748056</v>
      </c>
      <c r="S28" s="126"/>
      <c r="T28" s="126"/>
      <c r="W28" s="133">
        <f t="shared" si="5"/>
        <v>-4.71654563754668</v>
      </c>
      <c r="X28" s="107">
        <f>SUM(W39:W50)</f>
        <v>-59.2481664565656</v>
      </c>
      <c r="Y28" s="138"/>
      <c r="Z28" s="136"/>
      <c r="AA28" s="136"/>
    </row>
    <row r="29" spans="1:27">
      <c r="A29" s="113" t="s">
        <v>708</v>
      </c>
      <c r="B29" s="8">
        <v>3</v>
      </c>
      <c r="C29" s="114">
        <f t="shared" ref="C29:C92" si="11">SUM(F28:I28)</f>
        <v>-4.89796526748056</v>
      </c>
      <c r="D29" s="114">
        <f t="shared" si="6"/>
        <v>242.401795188164</v>
      </c>
      <c r="E29" s="115">
        <f t="shared" si="7"/>
        <v>-4.89796526748056</v>
      </c>
      <c r="F29" s="116">
        <f>IF(B29&lt;$C$17,0,IF(B29=$C$17,-$C$15*#REF!,-P29))</f>
        <v>-3.66761820053705</v>
      </c>
      <c r="G29" s="114">
        <f t="shared" si="8"/>
        <v>-1.23034706694351</v>
      </c>
      <c r="H29" s="113"/>
      <c r="I29" s="114">
        <f t="shared" si="9"/>
        <v>0</v>
      </c>
      <c r="J29" s="114">
        <f t="shared" si="10"/>
        <v>0.178768377248202</v>
      </c>
      <c r="K29" s="116"/>
      <c r="L29" s="129">
        <f>SUM(W27:W29)</f>
        <v>-16.2524551029519</v>
      </c>
      <c r="M29" s="129"/>
      <c r="N29" s="129">
        <f>SUM(C52:C63)</f>
        <v>-61.3090832097668</v>
      </c>
      <c r="O29" s="126">
        <v>3</v>
      </c>
      <c r="P29" s="130">
        <f t="shared" si="2"/>
        <v>3.66761820053705</v>
      </c>
      <c r="Q29" s="130">
        <f t="shared" si="3"/>
        <v>1.23034706694351</v>
      </c>
      <c r="R29" s="134">
        <f t="shared" si="4"/>
        <v>4.89796526748056</v>
      </c>
      <c r="S29" s="126"/>
      <c r="T29" s="126"/>
      <c r="W29" s="133">
        <f t="shared" si="5"/>
        <v>-4.71919689023236</v>
      </c>
      <c r="X29" s="107">
        <f>SUM(W51:W62)</f>
        <v>-59.6743490500636</v>
      </c>
      <c r="Y29" s="139"/>
      <c r="Z29" s="136"/>
      <c r="AA29" s="136"/>
    </row>
    <row r="30" spans="1:27">
      <c r="A30" s="113" t="s">
        <v>709</v>
      </c>
      <c r="B30" s="8">
        <v>4</v>
      </c>
      <c r="C30" s="114">
        <f t="shared" si="11"/>
        <v>-4.89796526748056</v>
      </c>
      <c r="D30" s="114">
        <f t="shared" si="6"/>
        <v>238.715838896625</v>
      </c>
      <c r="E30" s="115">
        <f t="shared" si="7"/>
        <v>-4.89796526748056</v>
      </c>
      <c r="F30" s="116">
        <f>IF(B30&lt;$C$17,0,IF(B30=$C$17,-$C$15*#REF!,-P30))</f>
        <v>-3.68595629153974</v>
      </c>
      <c r="G30" s="114">
        <f t="shared" si="8"/>
        <v>-1.21200897594082</v>
      </c>
      <c r="H30" s="113"/>
      <c r="I30" s="114">
        <f t="shared" si="9"/>
        <v>0</v>
      </c>
      <c r="J30" s="114">
        <f t="shared" si="10"/>
        <v>0.176103868299094</v>
      </c>
      <c r="K30" s="116"/>
      <c r="N30" s="129">
        <f>SUM(C64:C75)</f>
        <v>-61.3090832097668</v>
      </c>
      <c r="O30" s="126">
        <v>4</v>
      </c>
      <c r="P30" s="130">
        <f t="shared" si="2"/>
        <v>3.68595629153974</v>
      </c>
      <c r="Q30" s="130">
        <f t="shared" si="3"/>
        <v>1.21200897594082</v>
      </c>
      <c r="R30" s="134">
        <f t="shared" si="4"/>
        <v>4.89796526748056</v>
      </c>
      <c r="S30" s="126"/>
      <c r="T30" s="126"/>
      <c r="V30" s="129"/>
      <c r="W30" s="133">
        <f t="shared" si="5"/>
        <v>-4.72186139918147</v>
      </c>
      <c r="X30" s="107">
        <f>SUM(W63:W74)</f>
        <v>-60.1268176533832</v>
      </c>
      <c r="Y30" s="139"/>
      <c r="Z30" s="136"/>
      <c r="AA30" s="136"/>
    </row>
    <row r="31" spans="1:27">
      <c r="A31" s="113" t="s">
        <v>710</v>
      </c>
      <c r="B31" s="8">
        <v>5</v>
      </c>
      <c r="C31" s="114">
        <f t="shared" si="11"/>
        <v>-4.89796526748056</v>
      </c>
      <c r="D31" s="114">
        <f t="shared" si="6"/>
        <v>235.011452823627</v>
      </c>
      <c r="E31" s="115">
        <f t="shared" si="7"/>
        <v>-4.89796526748056</v>
      </c>
      <c r="F31" s="116">
        <f>IF(B31&lt;$C$17,0,IF(B31=$C$17,-$C$15*#REF!,-P31))</f>
        <v>-3.70438607299744</v>
      </c>
      <c r="G31" s="114">
        <f t="shared" si="8"/>
        <v>-1.19357919448312</v>
      </c>
      <c r="H31" s="113"/>
      <c r="I31" s="114">
        <f t="shared" si="9"/>
        <v>0</v>
      </c>
      <c r="J31" s="114">
        <f t="shared" si="10"/>
        <v>0.17342603680524</v>
      </c>
      <c r="K31" s="116"/>
      <c r="N31" s="129">
        <f>SUM(C76:C87)</f>
        <v>-58.7755832097668</v>
      </c>
      <c r="O31" s="126">
        <v>5</v>
      </c>
      <c r="P31" s="130">
        <f t="shared" si="2"/>
        <v>3.70438607299744</v>
      </c>
      <c r="Q31" s="130">
        <f t="shared" si="3"/>
        <v>1.19357919448312</v>
      </c>
      <c r="R31" s="134">
        <f t="shared" si="4"/>
        <v>4.89796526748056</v>
      </c>
      <c r="S31" s="126"/>
      <c r="T31" s="126"/>
      <c r="W31" s="133">
        <f t="shared" si="5"/>
        <v>-4.72453923067532</v>
      </c>
      <c r="X31" s="107">
        <f>SUM(W75:W86)</f>
        <v>-58.504388530093</v>
      </c>
      <c r="Y31" s="139"/>
      <c r="Z31" s="136"/>
      <c r="AA31" s="136"/>
    </row>
    <row r="32" spans="1:27">
      <c r="A32" s="113" t="s">
        <v>711</v>
      </c>
      <c r="B32" s="8">
        <v>6</v>
      </c>
      <c r="C32" s="114">
        <f t="shared" si="11"/>
        <v>-4.89796526748056</v>
      </c>
      <c r="D32" s="114">
        <f t="shared" si="6"/>
        <v>231.288544820265</v>
      </c>
      <c r="E32" s="115">
        <f t="shared" si="7"/>
        <v>-4.89796526748056</v>
      </c>
      <c r="F32" s="116">
        <f>IF(B32&lt;$C$17,0,IF(B32=$C$17,-$C$15*#REF!,-P32))</f>
        <v>-3.72290800336243</v>
      </c>
      <c r="G32" s="114">
        <f t="shared" si="8"/>
        <v>-1.17505726411814</v>
      </c>
      <c r="H32" s="113"/>
      <c r="I32" s="114">
        <f t="shared" si="9"/>
        <v>0</v>
      </c>
      <c r="J32" s="114">
        <f t="shared" si="10"/>
        <v>0.170734816153917</v>
      </c>
      <c r="K32" s="116"/>
      <c r="L32" s="129">
        <f>SUM(W30:W32)</f>
        <v>-14.1736310811834</v>
      </c>
      <c r="N32" s="129">
        <f>SUM(C88:C99)</f>
        <v>0</v>
      </c>
      <c r="O32" s="126">
        <v>6</v>
      </c>
      <c r="P32" s="130">
        <f t="shared" si="2"/>
        <v>3.72290800336243</v>
      </c>
      <c r="Q32" s="130">
        <f t="shared" si="3"/>
        <v>1.17505726411814</v>
      </c>
      <c r="R32" s="134">
        <f t="shared" si="4"/>
        <v>4.89796526748056</v>
      </c>
      <c r="S32" s="126"/>
      <c r="T32" s="126"/>
      <c r="W32" s="133">
        <f t="shared" si="5"/>
        <v>-4.72723045132664</v>
      </c>
      <c r="X32" s="107">
        <f>SUM(W87:W98)</f>
        <v>0</v>
      </c>
      <c r="Y32" s="139"/>
      <c r="Z32" s="136"/>
      <c r="AA32" s="136"/>
    </row>
    <row r="33" spans="1:27">
      <c r="A33" s="113" t="s">
        <v>712</v>
      </c>
      <c r="B33" s="8">
        <v>7</v>
      </c>
      <c r="C33" s="114">
        <f t="shared" si="11"/>
        <v>-4.89796526748056</v>
      </c>
      <c r="D33" s="114">
        <f t="shared" si="6"/>
        <v>227.547022276886</v>
      </c>
      <c r="E33" s="115">
        <f t="shared" si="7"/>
        <v>-4.89796526748056</v>
      </c>
      <c r="F33" s="116">
        <f>IF(B33&lt;$C$17,0,IF(B33=$C$17,-$C$15*#REF!,-P33))</f>
        <v>-3.74152254337924</v>
      </c>
      <c r="G33" s="114">
        <f t="shared" si="8"/>
        <v>-1.15644272410132</v>
      </c>
      <c r="H33" s="113"/>
      <c r="I33" s="114">
        <f t="shared" si="9"/>
        <v>0</v>
      </c>
      <c r="J33" s="114">
        <f t="shared" si="10"/>
        <v>0.168030139399338</v>
      </c>
      <c r="K33" s="116"/>
      <c r="N33" s="129">
        <f>SUM(C100:C111)</f>
        <v>0</v>
      </c>
      <c r="O33" s="126">
        <v>7</v>
      </c>
      <c r="P33" s="130">
        <f t="shared" si="2"/>
        <v>3.74152254337924</v>
      </c>
      <c r="Q33" s="130">
        <f t="shared" si="3"/>
        <v>1.15644272410132</v>
      </c>
      <c r="R33" s="134">
        <f t="shared" si="4"/>
        <v>4.89796526748056</v>
      </c>
      <c r="S33" s="126"/>
      <c r="T33" s="126"/>
      <c r="W33" s="133">
        <f t="shared" si="5"/>
        <v>-4.72993512808122</v>
      </c>
      <c r="X33" s="107">
        <f>SUM(W99:W110)</f>
        <v>0</v>
      </c>
      <c r="Y33" s="139"/>
      <c r="Z33" s="136"/>
      <c r="AA33" s="136"/>
    </row>
    <row r="34" spans="1:27">
      <c r="A34" s="113" t="s">
        <v>713</v>
      </c>
      <c r="B34" s="8">
        <v>8</v>
      </c>
      <c r="C34" s="114">
        <f t="shared" si="11"/>
        <v>-4.89796526748056</v>
      </c>
      <c r="D34" s="114">
        <f t="shared" si="6"/>
        <v>223.786792120789</v>
      </c>
      <c r="E34" s="115">
        <f t="shared" si="7"/>
        <v>-4.89796526748056</v>
      </c>
      <c r="F34" s="116">
        <f>IF(B34&lt;$C$17,0,IF(B34=$C$17,-$C$15*#REF!,-P34))</f>
        <v>-3.76023015609613</v>
      </c>
      <c r="G34" s="114">
        <f t="shared" si="8"/>
        <v>-1.13773511138443</v>
      </c>
      <c r="H34" s="113"/>
      <c r="I34" s="114">
        <f t="shared" si="9"/>
        <v>0</v>
      </c>
      <c r="J34" s="114">
        <f t="shared" si="10"/>
        <v>0.165311939260985</v>
      </c>
      <c r="K34" s="116"/>
      <c r="N34" s="129">
        <f>SUM(C112:C123)</f>
        <v>0</v>
      </c>
      <c r="O34" s="126">
        <v>8</v>
      </c>
      <c r="P34" s="130">
        <f t="shared" si="2"/>
        <v>3.76023015609613</v>
      </c>
      <c r="Q34" s="130">
        <f t="shared" si="3"/>
        <v>1.13773511138443</v>
      </c>
      <c r="R34" s="134">
        <f t="shared" si="4"/>
        <v>4.89796526748056</v>
      </c>
      <c r="S34" s="126"/>
      <c r="T34" s="126"/>
      <c r="V34" s="129"/>
      <c r="W34" s="133">
        <f t="shared" si="5"/>
        <v>-4.73265332821958</v>
      </c>
      <c r="X34" s="107">
        <f>SUM(W111:W122)</f>
        <v>0</v>
      </c>
      <c r="Y34" s="139"/>
      <c r="Z34" s="136"/>
      <c r="AA34" s="136"/>
    </row>
    <row r="35" spans="1:27">
      <c r="A35" s="113" t="s">
        <v>714</v>
      </c>
      <c r="B35" s="8">
        <v>9</v>
      </c>
      <c r="C35" s="114">
        <f t="shared" si="11"/>
        <v>-4.89796526748056</v>
      </c>
      <c r="D35" s="114">
        <f t="shared" si="6"/>
        <v>220.007760813913</v>
      </c>
      <c r="E35" s="115">
        <f t="shared" si="7"/>
        <v>-4.89796526748056</v>
      </c>
      <c r="F35" s="116">
        <f>IF(B35&lt;$C$17,0,IF(B35=$C$17,-$C$15*#REF!,-P35))</f>
        <v>-3.77903130687661</v>
      </c>
      <c r="G35" s="114">
        <f t="shared" si="8"/>
        <v>-1.11893396060395</v>
      </c>
      <c r="H35" s="113"/>
      <c r="I35" s="114">
        <f t="shared" si="9"/>
        <v>0</v>
      </c>
      <c r="J35" s="114">
        <f t="shared" si="10"/>
        <v>0.162580148121941</v>
      </c>
      <c r="K35" s="116"/>
      <c r="L35" s="129">
        <f>SUM(W33:W35)</f>
        <v>-14.1979735756594</v>
      </c>
      <c r="N35" s="129">
        <f>SUM(C124:C135)</f>
        <v>0</v>
      </c>
      <c r="O35" s="126">
        <v>9</v>
      </c>
      <c r="P35" s="130">
        <f t="shared" si="2"/>
        <v>3.77903130687661</v>
      </c>
      <c r="Q35" s="130">
        <f t="shared" si="3"/>
        <v>1.11893396060395</v>
      </c>
      <c r="R35" s="134">
        <f t="shared" si="4"/>
        <v>4.89796526748056</v>
      </c>
      <c r="S35" s="126"/>
      <c r="T35" s="126"/>
      <c r="W35" s="133">
        <f t="shared" si="5"/>
        <v>-4.73538511935862</v>
      </c>
      <c r="X35" s="107">
        <f>SUM(W123:W134)</f>
        <v>0</v>
      </c>
      <c r="Y35" s="139"/>
      <c r="Z35" s="136"/>
      <c r="AA35" s="136"/>
    </row>
    <row r="36" spans="1:27">
      <c r="A36" s="113" t="s">
        <v>715</v>
      </c>
      <c r="B36" s="8">
        <v>10</v>
      </c>
      <c r="C36" s="114">
        <f t="shared" si="11"/>
        <v>-4.89796526748056</v>
      </c>
      <c r="D36" s="114">
        <f t="shared" si="6"/>
        <v>216.209834350502</v>
      </c>
      <c r="E36" s="115">
        <f t="shared" si="7"/>
        <v>-4.89796526748056</v>
      </c>
      <c r="F36" s="116">
        <f>IF(B36&lt;$C$17,0,IF(B36=$C$17,-$C$15*#REF!,-P36))</f>
        <v>-3.797926463411</v>
      </c>
      <c r="G36" s="114">
        <f t="shared" si="8"/>
        <v>-1.10003880406956</v>
      </c>
      <c r="H36" s="113"/>
      <c r="I36" s="114">
        <f t="shared" si="9"/>
        <v>0</v>
      </c>
      <c r="J36" s="114">
        <f t="shared" si="10"/>
        <v>0.159834698027202</v>
      </c>
      <c r="K36" s="116"/>
      <c r="N36" s="129">
        <f>SUM(C136:C147)</f>
        <v>0</v>
      </c>
      <c r="O36" s="126">
        <v>10</v>
      </c>
      <c r="P36" s="130">
        <f t="shared" si="2"/>
        <v>3.797926463411</v>
      </c>
      <c r="Q36" s="130">
        <f t="shared" si="3"/>
        <v>1.10003880406956</v>
      </c>
      <c r="R36" s="134">
        <f t="shared" si="4"/>
        <v>4.89796526748056</v>
      </c>
      <c r="S36" s="135"/>
      <c r="T36" s="135"/>
      <c r="W36" s="133">
        <f t="shared" si="5"/>
        <v>-4.73813056945336</v>
      </c>
      <c r="X36" s="107">
        <f>SUM(W135:W146)</f>
        <v>0</v>
      </c>
      <c r="Y36" s="139"/>
      <c r="Z36" s="136"/>
      <c r="AA36" s="136"/>
    </row>
    <row r="37" spans="1:27">
      <c r="A37" s="113" t="s">
        <v>716</v>
      </c>
      <c r="B37" s="8">
        <v>11</v>
      </c>
      <c r="C37" s="114">
        <f t="shared" si="11"/>
        <v>-4.89796526748056</v>
      </c>
      <c r="D37" s="114">
        <f t="shared" si="6"/>
        <v>212.392918254774</v>
      </c>
      <c r="E37" s="115">
        <f t="shared" si="7"/>
        <v>-4.89796526748056</v>
      </c>
      <c r="F37" s="116">
        <f>IF(B37&lt;$C$17,0,IF(B37=$C$17,-$C$15*#REF!,-P37))</f>
        <v>-3.81691609572805</v>
      </c>
      <c r="G37" s="114">
        <f t="shared" si="8"/>
        <v>-1.08104917175251</v>
      </c>
      <c r="H37" s="113"/>
      <c r="I37" s="114">
        <f t="shared" si="9"/>
        <v>0</v>
      </c>
      <c r="J37" s="114">
        <f t="shared" si="10"/>
        <v>0.157075520681989</v>
      </c>
      <c r="K37" s="116"/>
      <c r="O37" s="126">
        <v>11</v>
      </c>
      <c r="P37" s="130">
        <f t="shared" si="2"/>
        <v>3.81691609572805</v>
      </c>
      <c r="Q37" s="130">
        <f t="shared" si="3"/>
        <v>1.08104917175251</v>
      </c>
      <c r="R37" s="134">
        <f t="shared" si="4"/>
        <v>4.89796526748056</v>
      </c>
      <c r="S37" s="135"/>
      <c r="T37" s="135"/>
      <c r="W37" s="133">
        <f t="shared" si="5"/>
        <v>-4.74088974679857</v>
      </c>
      <c r="Y37" s="139"/>
      <c r="Z37" s="136"/>
      <c r="AA37" s="136"/>
    </row>
    <row r="38" spans="1:27">
      <c r="A38" s="113" t="s">
        <v>717</v>
      </c>
      <c r="B38" s="8">
        <v>12</v>
      </c>
      <c r="C38" s="114">
        <f t="shared" si="11"/>
        <v>-4.89796526748056</v>
      </c>
      <c r="D38" s="114">
        <f t="shared" si="6"/>
        <v>208.556917578567</v>
      </c>
      <c r="E38" s="115">
        <f t="shared" si="7"/>
        <v>-4.89796526748056</v>
      </c>
      <c r="F38" s="116">
        <f>IF(B38&lt;$C$17,0,IF(B38=$C$17,-$C$15*#REF!,-P38))</f>
        <v>-3.83600067620669</v>
      </c>
      <c r="G38" s="114">
        <f t="shared" si="8"/>
        <v>-1.06196459127387</v>
      </c>
      <c r="H38" s="113"/>
      <c r="I38" s="114">
        <f t="shared" si="9"/>
        <v>0</v>
      </c>
      <c r="J38" s="114">
        <f t="shared" si="10"/>
        <v>0.154302547450049</v>
      </c>
      <c r="K38" s="116"/>
      <c r="L38" s="129">
        <f>SUM(W36:W38)</f>
        <v>-14.2226830362824</v>
      </c>
      <c r="O38" s="126">
        <v>12</v>
      </c>
      <c r="P38" s="130">
        <f t="shared" si="2"/>
        <v>3.83600067620669</v>
      </c>
      <c r="Q38" s="130">
        <f t="shared" si="3"/>
        <v>1.06196459127387</v>
      </c>
      <c r="R38" s="134">
        <f t="shared" si="4"/>
        <v>4.89796526748056</v>
      </c>
      <c r="S38" s="135"/>
      <c r="T38" s="135"/>
      <c r="V38" s="129"/>
      <c r="W38" s="133">
        <f t="shared" si="5"/>
        <v>-4.74366272003051</v>
      </c>
      <c r="Y38" s="139"/>
      <c r="Z38" s="28"/>
      <c r="AA38" s="28"/>
    </row>
    <row r="39" spans="1:27">
      <c r="A39" s="113" t="s">
        <v>718</v>
      </c>
      <c r="B39" s="8">
        <v>13</v>
      </c>
      <c r="C39" s="114">
        <f t="shared" si="11"/>
        <v>-4.89796526748056</v>
      </c>
      <c r="D39" s="114">
        <f t="shared" si="6"/>
        <v>204.701736898979</v>
      </c>
      <c r="E39" s="115">
        <f t="shared" si="7"/>
        <v>-4.89796526748056</v>
      </c>
      <c r="F39" s="116">
        <f>IF(B39&lt;$C$17,0,IF(B39=$C$17,-$C$15*#REF!,-P39))</f>
        <v>-3.85518067958773</v>
      </c>
      <c r="G39" s="114">
        <f t="shared" si="8"/>
        <v>-1.04278458789284</v>
      </c>
      <c r="H39" s="113">
        <f>IF(((B39-1)/12+1)&lt;=$C$20,-$C$19,0)</f>
        <v>-2.5335</v>
      </c>
      <c r="I39" s="114">
        <f t="shared" si="9"/>
        <v>0</v>
      </c>
      <c r="J39" s="114">
        <f t="shared" si="10"/>
        <v>0.15151570935195</v>
      </c>
      <c r="K39" s="116">
        <f>-H39*17%</f>
        <v>0.430695</v>
      </c>
      <c r="O39" s="126">
        <v>13</v>
      </c>
      <c r="P39" s="130">
        <f t="shared" si="2"/>
        <v>3.85518067958773</v>
      </c>
      <c r="Q39" s="130">
        <f t="shared" si="3"/>
        <v>1.04278458789284</v>
      </c>
      <c r="R39" s="134">
        <f t="shared" si="4"/>
        <v>4.89796526748056</v>
      </c>
      <c r="S39" s="3"/>
      <c r="T39" s="3"/>
      <c r="W39" s="133">
        <f t="shared" si="5"/>
        <v>-6.84925455812861</v>
      </c>
      <c r="Y39" s="139"/>
      <c r="Z39" s="28"/>
      <c r="AA39" s="28"/>
    </row>
    <row r="40" spans="1:27">
      <c r="A40" s="113" t="s">
        <v>719</v>
      </c>
      <c r="B40" s="8">
        <v>14</v>
      </c>
      <c r="C40" s="114">
        <f t="shared" si="11"/>
        <v>-7.43146526748056</v>
      </c>
      <c r="D40" s="114">
        <f t="shared" si="6"/>
        <v>200.827280315994</v>
      </c>
      <c r="E40" s="115">
        <f t="shared" si="7"/>
        <v>-4.89796526748056</v>
      </c>
      <c r="F40" s="116">
        <f>IF(B40&lt;$C$17,0,IF(B40=$C$17,-$C$15*#REF!,-P40))</f>
        <v>-3.87445658298567</v>
      </c>
      <c r="G40" s="114">
        <f t="shared" si="8"/>
        <v>-1.0235086844949</v>
      </c>
      <c r="H40" s="113"/>
      <c r="I40" s="114">
        <f t="shared" si="9"/>
        <v>0</v>
      </c>
      <c r="J40" s="114">
        <f t="shared" si="10"/>
        <v>0.148714937063361</v>
      </c>
      <c r="K40" s="116"/>
      <c r="O40" s="126">
        <v>14</v>
      </c>
      <c r="P40" s="130">
        <f t="shared" si="2"/>
        <v>3.87445658298567</v>
      </c>
      <c r="Q40" s="130">
        <f t="shared" si="3"/>
        <v>1.0235086844949</v>
      </c>
      <c r="R40" s="134">
        <f t="shared" si="4"/>
        <v>4.89796526748056</v>
      </c>
      <c r="S40" s="3"/>
      <c r="T40" s="3"/>
      <c r="W40" s="133">
        <f t="shared" si="5"/>
        <v>-4.7492503304172</v>
      </c>
      <c r="Y40" s="139"/>
      <c r="Z40" s="28"/>
      <c r="AA40" s="28"/>
    </row>
    <row r="41" spans="1:27">
      <c r="A41" s="113" t="s">
        <v>720</v>
      </c>
      <c r="B41" s="8">
        <v>15</v>
      </c>
      <c r="C41" s="114">
        <f t="shared" si="11"/>
        <v>-4.89796526748056</v>
      </c>
      <c r="D41" s="114">
        <f t="shared" si="6"/>
        <v>196.933451450093</v>
      </c>
      <c r="E41" s="115">
        <f t="shared" si="7"/>
        <v>-4.89796526748056</v>
      </c>
      <c r="F41" s="116">
        <f>IF(B41&lt;$C$17,0,IF(B41=$C$17,-$C$15*#REF!,-P41))</f>
        <v>-3.89382886590059</v>
      </c>
      <c r="G41" s="114">
        <f t="shared" si="8"/>
        <v>-1.00413640157997</v>
      </c>
      <c r="H41" s="113"/>
      <c r="I41" s="114">
        <f t="shared" si="9"/>
        <v>0</v>
      </c>
      <c r="J41" s="114">
        <f t="shared" si="10"/>
        <v>0.145900160913329</v>
      </c>
      <c r="K41" s="116"/>
      <c r="L41" s="129">
        <f>SUM(W39:W41)</f>
        <v>-16.350569995113</v>
      </c>
      <c r="O41" s="126">
        <v>15</v>
      </c>
      <c r="P41" s="130">
        <f t="shared" si="2"/>
        <v>3.89382886590059</v>
      </c>
      <c r="Q41" s="130">
        <f t="shared" si="3"/>
        <v>1.00413640157997</v>
      </c>
      <c r="R41" s="134">
        <f t="shared" si="4"/>
        <v>4.89796526748056</v>
      </c>
      <c r="S41" s="3"/>
      <c r="T41" s="3"/>
      <c r="W41" s="133">
        <f t="shared" si="5"/>
        <v>-4.75206510656723</v>
      </c>
      <c r="Y41" s="139"/>
      <c r="Z41" s="28"/>
      <c r="AA41" s="28"/>
    </row>
    <row r="42" spans="1:27">
      <c r="A42" s="113" t="s">
        <v>721</v>
      </c>
      <c r="B42" s="8">
        <v>16</v>
      </c>
      <c r="C42" s="114">
        <f t="shared" si="11"/>
        <v>-4.89796526748056</v>
      </c>
      <c r="D42" s="114">
        <f t="shared" si="6"/>
        <v>193.020153439863</v>
      </c>
      <c r="E42" s="115">
        <f t="shared" si="7"/>
        <v>-4.89796526748056</v>
      </c>
      <c r="F42" s="116">
        <f>IF(B42&lt;$C$17,0,IF(B42=$C$17,-$C$15*#REF!,-P42))</f>
        <v>-3.9132980102301</v>
      </c>
      <c r="G42" s="114">
        <f t="shared" si="8"/>
        <v>-0.984667257250465</v>
      </c>
      <c r="H42" s="113"/>
      <c r="I42" s="114">
        <f t="shared" si="9"/>
        <v>0</v>
      </c>
      <c r="J42" s="114">
        <f t="shared" si="10"/>
        <v>0.143071310882546</v>
      </c>
      <c r="K42" s="116"/>
      <c r="O42" s="126">
        <v>16</v>
      </c>
      <c r="P42" s="130">
        <f t="shared" si="2"/>
        <v>3.9132980102301</v>
      </c>
      <c r="Q42" s="130">
        <f t="shared" si="3"/>
        <v>0.984667257250465</v>
      </c>
      <c r="R42" s="134">
        <f t="shared" si="4"/>
        <v>4.89796526748056</v>
      </c>
      <c r="S42" s="3"/>
      <c r="T42" s="3"/>
      <c r="V42" s="129"/>
      <c r="W42" s="133">
        <f t="shared" si="5"/>
        <v>-4.75489395659802</v>
      </c>
      <c r="Y42" s="139"/>
      <c r="Z42" s="28"/>
      <c r="AA42" s="28"/>
    </row>
    <row r="43" spans="1:27">
      <c r="A43" s="113" t="s">
        <v>722</v>
      </c>
      <c r="B43" s="8">
        <v>17</v>
      </c>
      <c r="C43" s="114">
        <f t="shared" si="11"/>
        <v>-4.89796526748056</v>
      </c>
      <c r="D43" s="114">
        <f t="shared" si="6"/>
        <v>189.087288939582</v>
      </c>
      <c r="E43" s="115">
        <f t="shared" si="7"/>
        <v>-4.89796526748056</v>
      </c>
      <c r="F43" s="116">
        <f>IF(B43&lt;$C$17,0,IF(B43=$C$17,-$C$15*#REF!,-P43))</f>
        <v>-3.93286450028125</v>
      </c>
      <c r="G43" s="114">
        <f t="shared" si="8"/>
        <v>-0.965100767199315</v>
      </c>
      <c r="H43" s="113"/>
      <c r="I43" s="114">
        <f t="shared" si="9"/>
        <v>0</v>
      </c>
      <c r="J43" s="114">
        <f t="shared" si="10"/>
        <v>0.14022831660161</v>
      </c>
      <c r="K43" s="116"/>
      <c r="O43" s="126">
        <v>17</v>
      </c>
      <c r="P43" s="130">
        <f t="shared" si="2"/>
        <v>3.93286450028125</v>
      </c>
      <c r="Q43" s="130">
        <f t="shared" si="3"/>
        <v>0.965100767199315</v>
      </c>
      <c r="R43" s="134">
        <f t="shared" si="4"/>
        <v>4.89796526748056</v>
      </c>
      <c r="S43" s="3"/>
      <c r="T43" s="3"/>
      <c r="W43" s="133">
        <f t="shared" si="5"/>
        <v>-4.75773695087895</v>
      </c>
      <c r="Y43" s="139"/>
      <c r="Z43" s="28"/>
      <c r="AA43" s="28"/>
    </row>
    <row r="44" spans="1:25">
      <c r="A44" s="113" t="s">
        <v>723</v>
      </c>
      <c r="B44" s="8">
        <v>18</v>
      </c>
      <c r="C44" s="114">
        <f t="shared" si="11"/>
        <v>-4.89796526748056</v>
      </c>
      <c r="D44" s="114">
        <f t="shared" si="6"/>
        <v>185.134760116799</v>
      </c>
      <c r="E44" s="115">
        <f t="shared" si="7"/>
        <v>-4.89796526748056</v>
      </c>
      <c r="F44" s="116">
        <f>IF(B44&lt;$C$17,0,IF(B44=$C$17,-$C$15*#REF!,-P44))</f>
        <v>-3.95252882278265</v>
      </c>
      <c r="G44" s="114">
        <f t="shared" si="8"/>
        <v>-0.945436444697909</v>
      </c>
      <c r="H44" s="113"/>
      <c r="I44" s="114">
        <f t="shared" si="9"/>
        <v>0</v>
      </c>
      <c r="J44" s="114">
        <f t="shared" si="10"/>
        <v>0.137371107349269</v>
      </c>
      <c r="K44" s="116"/>
      <c r="L44" s="129">
        <f>SUM(W42:W44)</f>
        <v>-14.2732250676083</v>
      </c>
      <c r="O44" s="126">
        <v>18</v>
      </c>
      <c r="P44" s="130">
        <f t="shared" si="2"/>
        <v>3.95252882278265</v>
      </c>
      <c r="Q44" s="130">
        <f t="shared" si="3"/>
        <v>0.945436444697909</v>
      </c>
      <c r="R44" s="134">
        <f t="shared" si="4"/>
        <v>4.89796526748056</v>
      </c>
      <c r="S44" s="3"/>
      <c r="T44" s="3"/>
      <c r="W44" s="133">
        <f t="shared" si="5"/>
        <v>-4.76059416013129</v>
      </c>
      <c r="Y44" s="139"/>
    </row>
    <row r="45" spans="1:25">
      <c r="A45" s="113" t="s">
        <v>724</v>
      </c>
      <c r="B45" s="8">
        <v>19</v>
      </c>
      <c r="C45" s="114">
        <f t="shared" si="11"/>
        <v>-4.89796526748056</v>
      </c>
      <c r="D45" s="114">
        <f t="shared" si="6"/>
        <v>181.162468649903</v>
      </c>
      <c r="E45" s="115">
        <f t="shared" si="7"/>
        <v>-4.89796526748056</v>
      </c>
      <c r="F45" s="116">
        <f>IF(B45&lt;$C$17,0,IF(B45=$C$17,-$C$15*#REF!,-P45))</f>
        <v>-3.97229146689657</v>
      </c>
      <c r="G45" s="114">
        <f t="shared" si="8"/>
        <v>-0.925673800583996</v>
      </c>
      <c r="H45" s="113"/>
      <c r="I45" s="114">
        <f t="shared" si="9"/>
        <v>0</v>
      </c>
      <c r="J45" s="114">
        <f t="shared" si="10"/>
        <v>0.134499612050666</v>
      </c>
      <c r="K45" s="116"/>
      <c r="O45" s="126">
        <v>19</v>
      </c>
      <c r="P45" s="130">
        <f t="shared" si="2"/>
        <v>3.97229146689657</v>
      </c>
      <c r="Q45" s="130">
        <f t="shared" si="3"/>
        <v>0.925673800583996</v>
      </c>
      <c r="R45" s="134">
        <f t="shared" si="4"/>
        <v>4.89796526748056</v>
      </c>
      <c r="S45" s="3"/>
      <c r="T45" s="3"/>
      <c r="W45" s="133">
        <f t="shared" si="5"/>
        <v>-4.7634656554299</v>
      </c>
      <c r="Y45" s="139"/>
    </row>
    <row r="46" spans="1:25">
      <c r="A46" s="113" t="s">
        <v>725</v>
      </c>
      <c r="B46" s="8">
        <v>20</v>
      </c>
      <c r="C46" s="114">
        <f t="shared" si="11"/>
        <v>-4.89796526748056</v>
      </c>
      <c r="D46" s="114">
        <f t="shared" si="6"/>
        <v>177.170315725671</v>
      </c>
      <c r="E46" s="115">
        <f t="shared" si="7"/>
        <v>-4.89796526748056</v>
      </c>
      <c r="F46" s="116">
        <f>IF(B46&lt;$C$17,0,IF(B46=$C$17,-$C$15*#REF!,-P46))</f>
        <v>-3.99215292423105</v>
      </c>
      <c r="G46" s="114">
        <f t="shared" si="8"/>
        <v>-0.905812343249512</v>
      </c>
      <c r="H46" s="113"/>
      <c r="I46" s="114">
        <f t="shared" si="9"/>
        <v>0</v>
      </c>
      <c r="J46" s="114">
        <f t="shared" si="10"/>
        <v>0.13161375927557</v>
      </c>
      <c r="K46" s="116"/>
      <c r="O46" s="126">
        <v>20</v>
      </c>
      <c r="P46" s="130">
        <f t="shared" si="2"/>
        <v>3.99215292423105</v>
      </c>
      <c r="Q46" s="130">
        <f t="shared" si="3"/>
        <v>0.905812343249512</v>
      </c>
      <c r="R46" s="134">
        <f t="shared" si="4"/>
        <v>4.89796526748056</v>
      </c>
      <c r="S46" s="3"/>
      <c r="T46" s="3"/>
      <c r="V46" s="129"/>
      <c r="W46" s="133">
        <f t="shared" si="5"/>
        <v>-4.76635150820499</v>
      </c>
      <c r="Y46" s="139"/>
    </row>
    <row r="47" spans="1:25">
      <c r="A47" s="113" t="s">
        <v>726</v>
      </c>
      <c r="B47" s="8">
        <v>21</v>
      </c>
      <c r="C47" s="114">
        <f t="shared" si="11"/>
        <v>-4.89796526748056</v>
      </c>
      <c r="D47" s="114">
        <f t="shared" si="6"/>
        <v>173.158202036819</v>
      </c>
      <c r="E47" s="115">
        <f t="shared" si="7"/>
        <v>-4.89796526748056</v>
      </c>
      <c r="F47" s="116">
        <f>IF(B47&lt;$C$17,0,IF(B47=$C$17,-$C$15*#REF!,-P47))</f>
        <v>-4.0121136888522</v>
      </c>
      <c r="G47" s="114">
        <f t="shared" si="8"/>
        <v>-0.885851578628357</v>
      </c>
      <c r="H47" s="113"/>
      <c r="I47" s="114">
        <f t="shared" si="9"/>
        <v>0</v>
      </c>
      <c r="J47" s="114">
        <f t="shared" si="10"/>
        <v>0.128713477236599</v>
      </c>
      <c r="K47" s="116"/>
      <c r="L47" s="129">
        <f>SUM(W45:W47)</f>
        <v>-14.2990689538789</v>
      </c>
      <c r="O47" s="126">
        <v>21</v>
      </c>
      <c r="P47" s="130">
        <f t="shared" si="2"/>
        <v>4.0121136888522</v>
      </c>
      <c r="Q47" s="130">
        <f t="shared" si="3"/>
        <v>0.885851578628357</v>
      </c>
      <c r="R47" s="134">
        <f t="shared" si="4"/>
        <v>4.89796526748056</v>
      </c>
      <c r="S47" s="3"/>
      <c r="T47" s="3"/>
      <c r="W47" s="133">
        <f t="shared" si="5"/>
        <v>-4.76925179024396</v>
      </c>
      <c r="Y47" s="139"/>
    </row>
    <row r="48" spans="1:25">
      <c r="A48" s="113" t="s">
        <v>727</v>
      </c>
      <c r="B48" s="8">
        <v>22</v>
      </c>
      <c r="C48" s="114">
        <f t="shared" si="11"/>
        <v>-4.89796526748056</v>
      </c>
      <c r="D48" s="114">
        <f t="shared" si="6"/>
        <v>169.126027779523</v>
      </c>
      <c r="E48" s="115">
        <f t="shared" si="7"/>
        <v>-4.89796526748056</v>
      </c>
      <c r="F48" s="116">
        <f>IF(B48&lt;$C$17,0,IF(B48=$C$17,-$C$15*#REF!,-P48))</f>
        <v>-4.03217425729647</v>
      </c>
      <c r="G48" s="114">
        <f t="shared" si="8"/>
        <v>-0.865791010184097</v>
      </c>
      <c r="H48" s="113"/>
      <c r="I48" s="114">
        <f t="shared" si="9"/>
        <v>0</v>
      </c>
      <c r="J48" s="114">
        <f t="shared" si="10"/>
        <v>0.125798693787433</v>
      </c>
      <c r="K48" s="116"/>
      <c r="O48" s="126">
        <v>22</v>
      </c>
      <c r="P48" s="130">
        <f t="shared" si="2"/>
        <v>4.03217425729647</v>
      </c>
      <c r="Q48" s="130">
        <f t="shared" si="3"/>
        <v>0.865791010184097</v>
      </c>
      <c r="R48" s="134">
        <f t="shared" si="4"/>
        <v>4.89796526748056</v>
      </c>
      <c r="S48" s="3"/>
      <c r="T48" s="3"/>
      <c r="W48" s="133">
        <f t="shared" si="5"/>
        <v>-4.77216657369313</v>
      </c>
      <c r="Y48" s="139"/>
    </row>
    <row r="49" spans="1:25">
      <c r="A49" s="113" t="s">
        <v>728</v>
      </c>
      <c r="B49" s="8">
        <v>23</v>
      </c>
      <c r="C49" s="114">
        <f t="shared" si="11"/>
        <v>-4.89796526748056</v>
      </c>
      <c r="D49" s="114">
        <f t="shared" si="6"/>
        <v>165.07369265094</v>
      </c>
      <c r="E49" s="115">
        <f t="shared" si="7"/>
        <v>-4.89796526748056</v>
      </c>
      <c r="F49" s="116">
        <f>IF(B49&lt;$C$17,0,IF(B49=$C$17,-$C$15*#REF!,-P49))</f>
        <v>-4.05233512858295</v>
      </c>
      <c r="G49" s="114">
        <f t="shared" si="8"/>
        <v>-0.845630138897614</v>
      </c>
      <c r="H49" s="113"/>
      <c r="I49" s="114">
        <f t="shared" si="9"/>
        <v>0</v>
      </c>
      <c r="J49" s="114">
        <f t="shared" si="10"/>
        <v>0.122869336421021</v>
      </c>
      <c r="K49" s="116"/>
      <c r="O49" s="126">
        <v>23</v>
      </c>
      <c r="P49" s="130">
        <f t="shared" si="2"/>
        <v>4.05233512858295</v>
      </c>
      <c r="Q49" s="130">
        <f t="shared" si="3"/>
        <v>0.845630138897614</v>
      </c>
      <c r="R49" s="134">
        <f t="shared" si="4"/>
        <v>4.89796526748056</v>
      </c>
      <c r="S49" s="3"/>
      <c r="T49" s="3"/>
      <c r="W49" s="133">
        <f t="shared" si="5"/>
        <v>-4.77509593105954</v>
      </c>
      <c r="Y49" s="139"/>
    </row>
    <row r="50" spans="1:25">
      <c r="A50" s="113" t="s">
        <v>729</v>
      </c>
      <c r="B50" s="8">
        <v>24</v>
      </c>
      <c r="C50" s="114">
        <f t="shared" si="11"/>
        <v>-4.89796526748056</v>
      </c>
      <c r="D50" s="114">
        <f t="shared" si="6"/>
        <v>161.001095846714</v>
      </c>
      <c r="E50" s="115">
        <f t="shared" si="7"/>
        <v>-4.89796526748056</v>
      </c>
      <c r="F50" s="116">
        <f>IF(B50&lt;$C$17,0,IF(B50=$C$17,-$C$15*#REF!,-P50))</f>
        <v>-4.07259680422586</v>
      </c>
      <c r="G50" s="114">
        <f t="shared" si="8"/>
        <v>-0.825368463254699</v>
      </c>
      <c r="H50" s="113"/>
      <c r="I50" s="114">
        <f t="shared" si="9"/>
        <v>0</v>
      </c>
      <c r="J50" s="114">
        <f t="shared" si="10"/>
        <v>0.119925332267777</v>
      </c>
      <c r="K50" s="116"/>
      <c r="L50" s="129">
        <f>SUM(W48:W50)</f>
        <v>-14.3253024399655</v>
      </c>
      <c r="O50" s="126">
        <v>24</v>
      </c>
      <c r="P50" s="130">
        <f t="shared" si="2"/>
        <v>4.07259680422586</v>
      </c>
      <c r="Q50" s="130">
        <f t="shared" si="3"/>
        <v>0.825368463254699</v>
      </c>
      <c r="R50" s="134">
        <f t="shared" si="4"/>
        <v>4.89796526748056</v>
      </c>
      <c r="S50" s="3"/>
      <c r="T50" s="3"/>
      <c r="V50" s="129"/>
      <c r="W50" s="133">
        <f t="shared" si="5"/>
        <v>-4.77803993521279</v>
      </c>
      <c r="Y50" s="139"/>
    </row>
    <row r="51" spans="1:25">
      <c r="A51" s="8" t="s">
        <v>730</v>
      </c>
      <c r="B51" s="8">
        <v>25</v>
      </c>
      <c r="C51" s="114">
        <f t="shared" si="11"/>
        <v>-4.89796526748056</v>
      </c>
      <c r="D51" s="114">
        <f t="shared" si="6"/>
        <v>156.908136058467</v>
      </c>
      <c r="E51" s="87">
        <f t="shared" si="7"/>
        <v>-4.89796526748056</v>
      </c>
      <c r="F51" s="116">
        <f>IF(B51&lt;$C$17,0,IF(B51=$C$17,-$C$15*#REF!,-P51))</f>
        <v>-4.09295978824699</v>
      </c>
      <c r="G51" s="114">
        <f t="shared" si="8"/>
        <v>-0.805005479233571</v>
      </c>
      <c r="H51" s="113">
        <f>IF(((B51-1)/12+1)&lt;=$C$20,-$C$19,0)</f>
        <v>-2.5335</v>
      </c>
      <c r="I51" s="114">
        <f t="shared" si="9"/>
        <v>0</v>
      </c>
      <c r="J51" s="117">
        <f t="shared" si="10"/>
        <v>0.116966608093767</v>
      </c>
      <c r="K51" s="19">
        <f>K39</f>
        <v>0.430695</v>
      </c>
      <c r="O51" s="126">
        <v>25</v>
      </c>
      <c r="P51" s="130">
        <f t="shared" si="2"/>
        <v>4.09295978824699</v>
      </c>
      <c r="Q51" s="130">
        <f t="shared" si="3"/>
        <v>0.805005479233571</v>
      </c>
      <c r="R51" s="134">
        <f t="shared" si="4"/>
        <v>4.89796526748056</v>
      </c>
      <c r="S51" s="3"/>
      <c r="T51" s="3"/>
      <c r="W51" s="133">
        <f t="shared" si="5"/>
        <v>-6.8838036593868</v>
      </c>
      <c r="Y51" s="139"/>
    </row>
    <row r="52" spans="1:25">
      <c r="A52" s="8" t="s">
        <v>731</v>
      </c>
      <c r="B52" s="8">
        <v>26</v>
      </c>
      <c r="C52" s="117">
        <f t="shared" si="11"/>
        <v>-7.43146526748056</v>
      </c>
      <c r="D52" s="114">
        <f t="shared" si="6"/>
        <v>152.794711471279</v>
      </c>
      <c r="E52" s="87">
        <f t="shared" si="7"/>
        <v>-4.89796526748056</v>
      </c>
      <c r="F52" s="116">
        <f>IF(B52&lt;$C$17,0,IF(B52=$C$17,-$C$15*#REF!,-P52))</f>
        <v>-4.11342458718823</v>
      </c>
      <c r="G52" s="114">
        <f t="shared" si="8"/>
        <v>-0.784540680292335</v>
      </c>
      <c r="H52" s="8"/>
      <c r="I52" s="114">
        <f t="shared" si="9"/>
        <v>0</v>
      </c>
      <c r="J52" s="117">
        <f t="shared" si="10"/>
        <v>0.113993090298886</v>
      </c>
      <c r="K52" s="19"/>
      <c r="O52" s="126">
        <v>26</v>
      </c>
      <c r="P52" s="130">
        <f t="shared" si="2"/>
        <v>4.11342458718823</v>
      </c>
      <c r="Q52" s="130">
        <f t="shared" si="3"/>
        <v>0.784540680292335</v>
      </c>
      <c r="R52" s="134">
        <f t="shared" si="4"/>
        <v>4.89796526748056</v>
      </c>
      <c r="S52" s="3"/>
      <c r="T52" s="3"/>
      <c r="W52" s="133">
        <f t="shared" si="5"/>
        <v>-4.78397217718168</v>
      </c>
      <c r="Y52" s="139"/>
    </row>
    <row r="53" spans="1:25">
      <c r="A53" s="8" t="s">
        <v>732</v>
      </c>
      <c r="B53" s="8">
        <v>27</v>
      </c>
      <c r="C53" s="117">
        <f t="shared" si="11"/>
        <v>-4.89796526748056</v>
      </c>
      <c r="D53" s="114">
        <f t="shared" si="6"/>
        <v>148.660719761155</v>
      </c>
      <c r="E53" s="87">
        <f t="shared" si="7"/>
        <v>-4.89796526748056</v>
      </c>
      <c r="F53" s="116">
        <f>IF(B53&lt;$C$17,0,IF(B53=$C$17,-$C$15*#REF!,-P53))</f>
        <v>-4.13399171012417</v>
      </c>
      <c r="G53" s="114">
        <f t="shared" si="8"/>
        <v>-0.763973557356394</v>
      </c>
      <c r="H53" s="8"/>
      <c r="I53" s="114">
        <f t="shared" si="9"/>
        <v>0</v>
      </c>
      <c r="J53" s="117">
        <f t="shared" si="10"/>
        <v>0.111004704915032</v>
      </c>
      <c r="K53" s="19"/>
      <c r="L53" s="129">
        <f>SUM(W51:W53)</f>
        <v>-16.454736399134</v>
      </c>
      <c r="O53" s="126">
        <v>27</v>
      </c>
      <c r="P53" s="130">
        <f t="shared" si="2"/>
        <v>4.13399171012417</v>
      </c>
      <c r="Q53" s="130">
        <f t="shared" si="3"/>
        <v>0.763973557356394</v>
      </c>
      <c r="R53" s="134">
        <f t="shared" si="4"/>
        <v>4.89796526748056</v>
      </c>
      <c r="S53" s="3"/>
      <c r="T53" s="3"/>
      <c r="W53" s="133">
        <f t="shared" si="5"/>
        <v>-4.78696056256553</v>
      </c>
      <c r="Y53" s="139"/>
    </row>
    <row r="54" spans="1:25">
      <c r="A54" s="8" t="s">
        <v>733</v>
      </c>
      <c r="B54" s="8">
        <v>28</v>
      </c>
      <c r="C54" s="117">
        <f t="shared" si="11"/>
        <v>-4.89796526748056</v>
      </c>
      <c r="D54" s="114">
        <f t="shared" si="6"/>
        <v>144.50605809248</v>
      </c>
      <c r="E54" s="87">
        <f t="shared" si="7"/>
        <v>-4.89796526748056</v>
      </c>
      <c r="F54" s="116">
        <f>IF(B54&lt;$C$17,0,IF(B54=$C$17,-$C$15*#REF!,-P54))</f>
        <v>-4.15466166867479</v>
      </c>
      <c r="G54" s="114">
        <f t="shared" si="8"/>
        <v>-0.743303598805773</v>
      </c>
      <c r="H54" s="8"/>
      <c r="I54" s="114">
        <f t="shared" si="9"/>
        <v>0</v>
      </c>
      <c r="J54" s="117">
        <f t="shared" si="10"/>
        <v>0.108001377604258</v>
      </c>
      <c r="K54" s="19"/>
      <c r="O54" s="126">
        <v>28</v>
      </c>
      <c r="P54" s="130">
        <f t="shared" si="2"/>
        <v>4.15466166867479</v>
      </c>
      <c r="Q54" s="130">
        <f t="shared" si="3"/>
        <v>0.743303598805773</v>
      </c>
      <c r="R54" s="134">
        <f t="shared" si="4"/>
        <v>4.89796526748056</v>
      </c>
      <c r="S54" s="3"/>
      <c r="T54" s="3"/>
      <c r="V54" s="129"/>
      <c r="W54" s="133">
        <f t="shared" si="5"/>
        <v>-4.7899638898763</v>
      </c>
      <c r="Y54" s="139"/>
    </row>
    <row r="55" spans="1:25">
      <c r="A55" s="8" t="s">
        <v>734</v>
      </c>
      <c r="B55" s="8">
        <v>29</v>
      </c>
      <c r="C55" s="117">
        <f t="shared" si="11"/>
        <v>-4.89796526748056</v>
      </c>
      <c r="D55" s="114">
        <f t="shared" si="6"/>
        <v>140.330623115462</v>
      </c>
      <c r="E55" s="87">
        <f t="shared" si="7"/>
        <v>-4.89796526748056</v>
      </c>
      <c r="F55" s="116">
        <f>IF(B55&lt;$C$17,0,IF(B55=$C$17,-$C$15*#REF!,-P55))</f>
        <v>-4.17543497701816</v>
      </c>
      <c r="G55" s="114">
        <f t="shared" si="8"/>
        <v>-0.722530290462399</v>
      </c>
      <c r="H55" s="8"/>
      <c r="I55" s="114">
        <f t="shared" si="9"/>
        <v>0</v>
      </c>
      <c r="J55" s="117">
        <f t="shared" si="10"/>
        <v>0.10498303365693</v>
      </c>
      <c r="K55" s="19"/>
      <c r="O55" s="126">
        <v>29</v>
      </c>
      <c r="P55" s="130">
        <f t="shared" si="2"/>
        <v>4.17543497701816</v>
      </c>
      <c r="Q55" s="130">
        <f t="shared" si="3"/>
        <v>0.722530290462399</v>
      </c>
      <c r="R55" s="134">
        <f t="shared" si="4"/>
        <v>4.89796526748056</v>
      </c>
      <c r="S55" s="3"/>
      <c r="T55" s="3"/>
      <c r="W55" s="133">
        <f t="shared" si="5"/>
        <v>-4.79298223382363</v>
      </c>
      <c r="Y55" s="139"/>
    </row>
    <row r="56" spans="1:25">
      <c r="A56" s="8" t="s">
        <v>735</v>
      </c>
      <c r="B56" s="8">
        <v>30</v>
      </c>
      <c r="C56" s="117">
        <f t="shared" si="11"/>
        <v>-4.89796526748056</v>
      </c>
      <c r="D56" s="114">
        <f t="shared" si="6"/>
        <v>136.134310963558</v>
      </c>
      <c r="E56" s="87">
        <f t="shared" si="7"/>
        <v>-4.89796526748056</v>
      </c>
      <c r="F56" s="116">
        <f>IF(B56&lt;$C$17,0,IF(B56=$C$17,-$C$15*#REF!,-P56))</f>
        <v>-4.19631215190325</v>
      </c>
      <c r="G56" s="114">
        <f t="shared" si="8"/>
        <v>-0.701653115577309</v>
      </c>
      <c r="H56" s="8"/>
      <c r="I56" s="114">
        <f t="shared" si="9"/>
        <v>0</v>
      </c>
      <c r="J56" s="117">
        <f t="shared" si="10"/>
        <v>0.101949597989865</v>
      </c>
      <c r="K56" s="19"/>
      <c r="L56" s="129">
        <f>SUM(W54:W56)</f>
        <v>-14.3789617931906</v>
      </c>
      <c r="O56" s="126">
        <v>30</v>
      </c>
      <c r="P56" s="130">
        <f t="shared" si="2"/>
        <v>4.19631215190325</v>
      </c>
      <c r="Q56" s="130">
        <f t="shared" si="3"/>
        <v>0.701653115577309</v>
      </c>
      <c r="R56" s="134">
        <f t="shared" si="4"/>
        <v>4.89796526748056</v>
      </c>
      <c r="S56" s="3"/>
      <c r="T56" s="3"/>
      <c r="W56" s="133">
        <f t="shared" si="5"/>
        <v>-4.7960156694907</v>
      </c>
      <c r="Y56" s="139"/>
    </row>
    <row r="57" spans="1:25">
      <c r="A57" s="8" t="s">
        <v>736</v>
      </c>
      <c r="B57" s="8">
        <v>31</v>
      </c>
      <c r="C57" s="117">
        <f t="shared" si="11"/>
        <v>-4.89796526748056</v>
      </c>
      <c r="D57" s="114">
        <f t="shared" si="6"/>
        <v>131.917017250896</v>
      </c>
      <c r="E57" s="87">
        <f t="shared" si="7"/>
        <v>-4.89796526748056</v>
      </c>
      <c r="F57" s="116">
        <f>IF(B57&lt;$C$17,0,IF(B57=$C$17,-$C$15*#REF!,-P57))</f>
        <v>-4.21729371266277</v>
      </c>
      <c r="G57" s="114">
        <f t="shared" si="8"/>
        <v>-0.680671554817792</v>
      </c>
      <c r="H57" s="8"/>
      <c r="I57" s="114">
        <f t="shared" si="9"/>
        <v>0</v>
      </c>
      <c r="J57" s="117">
        <f t="shared" si="10"/>
        <v>0.0989009951444655</v>
      </c>
      <c r="K57" s="19"/>
      <c r="O57" s="126">
        <v>31</v>
      </c>
      <c r="P57" s="130">
        <f t="shared" si="2"/>
        <v>4.21729371266277</v>
      </c>
      <c r="Q57" s="130">
        <f t="shared" si="3"/>
        <v>0.680671554817792</v>
      </c>
      <c r="R57" s="134">
        <f t="shared" si="4"/>
        <v>4.89796526748056</v>
      </c>
      <c r="S57" s="3"/>
      <c r="T57" s="3"/>
      <c r="W57" s="133">
        <f t="shared" si="5"/>
        <v>-4.7990642723361</v>
      </c>
      <c r="Y57" s="139"/>
    </row>
    <row r="58" spans="1:25">
      <c r="A58" s="8" t="s">
        <v>737</v>
      </c>
      <c r="B58" s="8">
        <v>32</v>
      </c>
      <c r="C58" s="117">
        <f t="shared" si="11"/>
        <v>-4.89796526748056</v>
      </c>
      <c r="D58" s="114">
        <f t="shared" si="6"/>
        <v>127.67863706967</v>
      </c>
      <c r="E58" s="87">
        <f t="shared" si="7"/>
        <v>-4.89796526748056</v>
      </c>
      <c r="F58" s="116">
        <f>IF(B58&lt;$C$17,0,IF(B58=$C$17,-$C$15*#REF!,-P58))</f>
        <v>-4.23838018122608</v>
      </c>
      <c r="G58" s="114">
        <f t="shared" si="8"/>
        <v>-0.659585086254478</v>
      </c>
      <c r="H58" s="8"/>
      <c r="I58" s="114">
        <f t="shared" si="9"/>
        <v>0</v>
      </c>
      <c r="J58" s="117">
        <f t="shared" si="10"/>
        <v>0.0958371492848387</v>
      </c>
      <c r="K58" s="19"/>
      <c r="O58" s="126">
        <v>32</v>
      </c>
      <c r="P58" s="130">
        <f t="shared" si="2"/>
        <v>4.23838018122608</v>
      </c>
      <c r="Q58" s="130">
        <f t="shared" si="3"/>
        <v>0.659585086254478</v>
      </c>
      <c r="R58" s="134">
        <f t="shared" si="4"/>
        <v>4.89796526748056</v>
      </c>
      <c r="S58" s="3"/>
      <c r="T58" s="3"/>
      <c r="V58" s="129"/>
      <c r="W58" s="133">
        <f t="shared" si="5"/>
        <v>-4.80212811819572</v>
      </c>
      <c r="Y58" s="139"/>
    </row>
    <row r="59" spans="1:25">
      <c r="A59" s="8" t="s">
        <v>738</v>
      </c>
      <c r="B59" s="8">
        <v>33</v>
      </c>
      <c r="C59" s="117">
        <f t="shared" si="11"/>
        <v>-4.89796526748056</v>
      </c>
      <c r="D59" s="114">
        <f t="shared" si="6"/>
        <v>123.419064987537</v>
      </c>
      <c r="E59" s="87">
        <f t="shared" si="7"/>
        <v>-4.89796526748056</v>
      </c>
      <c r="F59" s="116">
        <f>IF(B59&lt;$C$17,0,IF(B59=$C$17,-$C$15*#REF!,-P59))</f>
        <v>-4.25957208213221</v>
      </c>
      <c r="G59" s="114">
        <f t="shared" si="8"/>
        <v>-0.638393185348348</v>
      </c>
      <c r="H59" s="8"/>
      <c r="I59" s="114">
        <f t="shared" si="9"/>
        <v>0</v>
      </c>
      <c r="J59" s="117">
        <f t="shared" si="10"/>
        <v>0.0927579841959138</v>
      </c>
      <c r="K59" s="19"/>
      <c r="L59" s="129">
        <f>SUM(W57:W59)</f>
        <v>-14.4063996738165</v>
      </c>
      <c r="O59" s="126">
        <v>33</v>
      </c>
      <c r="P59" s="130">
        <f t="shared" si="2"/>
        <v>4.25957208213221</v>
      </c>
      <c r="Q59" s="130">
        <f t="shared" si="3"/>
        <v>0.638393185348348</v>
      </c>
      <c r="R59" s="134">
        <f t="shared" si="4"/>
        <v>4.89796526748056</v>
      </c>
      <c r="S59" s="3"/>
      <c r="T59" s="3"/>
      <c r="W59" s="133">
        <f t="shared" ref="W59:W122" si="12">SUM(F59:K59)</f>
        <v>-4.80520728328465</v>
      </c>
      <c r="Y59" s="139"/>
    </row>
    <row r="60" spans="1:25">
      <c r="A60" s="8" t="s">
        <v>739</v>
      </c>
      <c r="B60" s="8">
        <v>34</v>
      </c>
      <c r="C60" s="117">
        <f t="shared" si="11"/>
        <v>-4.89796526748056</v>
      </c>
      <c r="D60" s="114">
        <f t="shared" si="6"/>
        <v>119.138195044994</v>
      </c>
      <c r="E60" s="87">
        <f t="shared" si="7"/>
        <v>-4.89796526748056</v>
      </c>
      <c r="F60" s="116">
        <f>IF(B60&lt;$C$17,0,IF(B60=$C$17,-$C$15*#REF!,-P60))</f>
        <v>-4.28086994254287</v>
      </c>
      <c r="G60" s="114">
        <f t="shared" si="8"/>
        <v>-0.617095324937687</v>
      </c>
      <c r="H60" s="8"/>
      <c r="I60" s="114">
        <f t="shared" si="9"/>
        <v>0</v>
      </c>
      <c r="J60" s="117">
        <f t="shared" si="10"/>
        <v>0.0896634232815443</v>
      </c>
      <c r="K60" s="19"/>
      <c r="O60" s="126">
        <v>34</v>
      </c>
      <c r="P60" s="130">
        <f t="shared" si="2"/>
        <v>4.28086994254287</v>
      </c>
      <c r="Q60" s="130">
        <f t="shared" si="3"/>
        <v>0.617095324937687</v>
      </c>
      <c r="R60" s="134">
        <f t="shared" si="4"/>
        <v>4.89796526748056</v>
      </c>
      <c r="S60" s="3"/>
      <c r="T60" s="3"/>
      <c r="W60" s="133">
        <f t="shared" si="12"/>
        <v>-4.80830184419902</v>
      </c>
      <c r="Y60" s="139"/>
    </row>
    <row r="61" spans="1:25">
      <c r="A61" s="8" t="s">
        <v>740</v>
      </c>
      <c r="B61" s="8">
        <v>35</v>
      </c>
      <c r="C61" s="117">
        <f t="shared" si="11"/>
        <v>-4.89796526748056</v>
      </c>
      <c r="D61" s="114">
        <f t="shared" si="6"/>
        <v>114.835920752739</v>
      </c>
      <c r="E61" s="87">
        <f t="shared" si="7"/>
        <v>-4.89796526748056</v>
      </c>
      <c r="F61" s="116">
        <f>IF(B61&lt;$C$17,0,IF(B61=$C$17,-$C$15*#REF!,-P61))</f>
        <v>-4.30227429225559</v>
      </c>
      <c r="G61" s="114">
        <f t="shared" si="8"/>
        <v>-0.595690975224972</v>
      </c>
      <c r="H61" s="8"/>
      <c r="I61" s="114">
        <f t="shared" si="9"/>
        <v>0</v>
      </c>
      <c r="J61" s="117">
        <f t="shared" si="10"/>
        <v>0.0865533895626028</v>
      </c>
      <c r="K61" s="19"/>
      <c r="O61" s="126">
        <v>35</v>
      </c>
      <c r="P61" s="130">
        <f t="shared" si="2"/>
        <v>4.30227429225559</v>
      </c>
      <c r="Q61" s="130">
        <f t="shared" si="3"/>
        <v>0.595690975224972</v>
      </c>
      <c r="R61" s="134">
        <f t="shared" si="4"/>
        <v>4.89796526748056</v>
      </c>
      <c r="S61" s="3"/>
      <c r="T61" s="3"/>
      <c r="W61" s="133">
        <f t="shared" si="12"/>
        <v>-4.81141187791796</v>
      </c>
      <c r="Y61" s="139"/>
    </row>
    <row r="62" spans="1:25">
      <c r="A62" s="8" t="s">
        <v>741</v>
      </c>
      <c r="B62" s="8">
        <v>36</v>
      </c>
      <c r="C62" s="117">
        <f t="shared" si="11"/>
        <v>-4.89796526748056</v>
      </c>
      <c r="D62" s="114">
        <f t="shared" si="6"/>
        <v>110.512135089022</v>
      </c>
      <c r="E62" s="87">
        <f t="shared" si="7"/>
        <v>-4.89796526748056</v>
      </c>
      <c r="F62" s="116">
        <f>IF(B62&lt;$C$17,0,IF(B62=$C$17,-$C$15*#REF!,-P62))</f>
        <v>-4.32378566371687</v>
      </c>
      <c r="G62" s="114">
        <f t="shared" si="8"/>
        <v>-0.574179603763694</v>
      </c>
      <c r="H62" s="8"/>
      <c r="I62" s="114">
        <f t="shared" si="9"/>
        <v>0</v>
      </c>
      <c r="J62" s="117">
        <f t="shared" si="10"/>
        <v>0.0834278056750667</v>
      </c>
      <c r="K62" s="19"/>
      <c r="L62" s="129">
        <f>SUM(W60:W62)</f>
        <v>-14.4342511839225</v>
      </c>
      <c r="O62" s="126">
        <v>36</v>
      </c>
      <c r="P62" s="130">
        <f t="shared" si="2"/>
        <v>4.32378566371687</v>
      </c>
      <c r="Q62" s="130">
        <f t="shared" si="3"/>
        <v>0.574179603763694</v>
      </c>
      <c r="R62" s="134">
        <f t="shared" si="4"/>
        <v>4.89796526748056</v>
      </c>
      <c r="S62" s="3"/>
      <c r="T62" s="3"/>
      <c r="V62" s="129"/>
      <c r="W62" s="133">
        <f t="shared" si="12"/>
        <v>-4.8145374618055</v>
      </c>
      <c r="Y62" s="139"/>
    </row>
    <row r="63" spans="1:25">
      <c r="A63" s="8" t="s">
        <v>742</v>
      </c>
      <c r="B63" s="8">
        <v>37</v>
      </c>
      <c r="C63" s="117">
        <f t="shared" si="11"/>
        <v>-4.89796526748056</v>
      </c>
      <c r="D63" s="114">
        <f t="shared" si="6"/>
        <v>106.166730496987</v>
      </c>
      <c r="E63" s="87">
        <f t="shared" si="7"/>
        <v>-4.89796526748056</v>
      </c>
      <c r="F63" s="116">
        <f>IF(B63&lt;$C$17,0,IF(B63=$C$17,-$C$15*#REF!,-P63))</f>
        <v>-4.34540459203545</v>
      </c>
      <c r="G63" s="114">
        <f t="shared" si="8"/>
        <v>-0.55256067544511</v>
      </c>
      <c r="H63" s="113">
        <f>IF(((B63-1)/12+1)&lt;=$C$20,-$C$19,0)</f>
        <v>-2.5335</v>
      </c>
      <c r="I63" s="114">
        <f t="shared" si="9"/>
        <v>0</v>
      </c>
      <c r="J63" s="117">
        <f t="shared" si="10"/>
        <v>0.0802865938680929</v>
      </c>
      <c r="K63" s="19">
        <f>K51</f>
        <v>0.430695</v>
      </c>
      <c r="O63" s="126">
        <v>37</v>
      </c>
      <c r="P63" s="130">
        <f t="shared" si="2"/>
        <v>4.34540459203545</v>
      </c>
      <c r="Q63" s="130">
        <f t="shared" si="3"/>
        <v>0.55256067544511</v>
      </c>
      <c r="R63" s="134">
        <f t="shared" si="4"/>
        <v>4.89796526748056</v>
      </c>
      <c r="S63" s="3"/>
      <c r="T63" s="3"/>
      <c r="W63" s="133">
        <f t="shared" si="12"/>
        <v>-6.92048367361247</v>
      </c>
      <c r="Y63" s="139"/>
    </row>
    <row r="64" spans="1:25">
      <c r="A64" s="8" t="s">
        <v>743</v>
      </c>
      <c r="B64" s="8">
        <v>38</v>
      </c>
      <c r="C64" s="117">
        <f t="shared" si="11"/>
        <v>-7.43146526748056</v>
      </c>
      <c r="D64" s="114">
        <f t="shared" si="6"/>
        <v>101.799598881991</v>
      </c>
      <c r="E64" s="87">
        <f t="shared" si="7"/>
        <v>-4.89796526748056</v>
      </c>
      <c r="F64" s="116">
        <f>IF(B64&lt;$C$17,0,IF(B64=$C$17,-$C$15*#REF!,-P64))</f>
        <v>-4.36713161499563</v>
      </c>
      <c r="G64" s="114">
        <f t="shared" si="8"/>
        <v>-0.530833652484933</v>
      </c>
      <c r="H64" s="8"/>
      <c r="I64" s="114">
        <f t="shared" si="9"/>
        <v>0</v>
      </c>
      <c r="J64" s="117">
        <f t="shared" si="10"/>
        <v>0.0771296760020843</v>
      </c>
      <c r="K64" s="19"/>
      <c r="O64" s="126">
        <v>38</v>
      </c>
      <c r="P64" s="130">
        <f t="shared" si="2"/>
        <v>4.36713161499563</v>
      </c>
      <c r="Q64" s="130">
        <f t="shared" si="3"/>
        <v>0.530833652484933</v>
      </c>
      <c r="R64" s="134">
        <f t="shared" si="4"/>
        <v>4.89796526748056</v>
      </c>
      <c r="S64" s="3"/>
      <c r="T64" s="3"/>
      <c r="W64" s="133">
        <f t="shared" si="12"/>
        <v>-4.82083559147848</v>
      </c>
      <c r="Y64" s="139"/>
    </row>
    <row r="65" spans="1:25">
      <c r="A65" s="8" t="s">
        <v>744</v>
      </c>
      <c r="B65" s="8">
        <v>39</v>
      </c>
      <c r="C65" s="117">
        <f t="shared" si="11"/>
        <v>-4.89796526748056</v>
      </c>
      <c r="D65" s="114">
        <f t="shared" si="6"/>
        <v>97.4106316089203</v>
      </c>
      <c r="E65" s="87">
        <f t="shared" si="7"/>
        <v>-4.89796526748056</v>
      </c>
      <c r="F65" s="116">
        <f>IF(B65&lt;$C$17,0,IF(B65=$C$17,-$C$15*#REF!,-P65))</f>
        <v>-4.38896727307061</v>
      </c>
      <c r="G65" s="114">
        <f t="shared" si="8"/>
        <v>-0.508997994409954</v>
      </c>
      <c r="H65" s="8"/>
      <c r="I65" s="114">
        <f t="shared" si="9"/>
        <v>0</v>
      </c>
      <c r="J65" s="117">
        <f t="shared" si="10"/>
        <v>0.0739569735467455</v>
      </c>
      <c r="K65" s="19"/>
      <c r="L65" s="129">
        <f>SUM(W63:W65)</f>
        <v>-16.5653275590248</v>
      </c>
      <c r="O65" s="126">
        <v>39</v>
      </c>
      <c r="P65" s="130">
        <f t="shared" si="2"/>
        <v>4.38896727307061</v>
      </c>
      <c r="Q65" s="130">
        <f t="shared" si="3"/>
        <v>0.508997994409954</v>
      </c>
      <c r="R65" s="134">
        <f t="shared" si="4"/>
        <v>4.89796526748056</v>
      </c>
      <c r="S65" s="3"/>
      <c r="T65" s="3"/>
      <c r="W65" s="133">
        <f t="shared" si="12"/>
        <v>-4.82400829393382</v>
      </c>
      <c r="Y65" s="139"/>
    </row>
    <row r="66" spans="1:25">
      <c r="A66" s="8" t="s">
        <v>745</v>
      </c>
      <c r="B66" s="8">
        <v>40</v>
      </c>
      <c r="C66" s="117">
        <f t="shared" si="11"/>
        <v>-4.89796526748056</v>
      </c>
      <c r="D66" s="114">
        <f t="shared" si="6"/>
        <v>92.9997194994844</v>
      </c>
      <c r="E66" s="87">
        <f t="shared" si="7"/>
        <v>-4.89796526748056</v>
      </c>
      <c r="F66" s="116">
        <f>IF(B66&lt;$C$17,0,IF(B66=$C$17,-$C$15*#REF!,-P66))</f>
        <v>-4.41091210943596</v>
      </c>
      <c r="G66" s="114">
        <f t="shared" si="8"/>
        <v>-0.487053158044602</v>
      </c>
      <c r="H66" s="8"/>
      <c r="I66" s="114">
        <f t="shared" si="9"/>
        <v>0</v>
      </c>
      <c r="J66" s="117">
        <f t="shared" si="10"/>
        <v>0.0707684075791302</v>
      </c>
      <c r="K66" s="19"/>
      <c r="O66" s="126">
        <v>40</v>
      </c>
      <c r="P66" s="130">
        <f t="shared" si="2"/>
        <v>4.41091210943596</v>
      </c>
      <c r="Q66" s="130">
        <f t="shared" si="3"/>
        <v>0.487053158044602</v>
      </c>
      <c r="R66" s="134">
        <f t="shared" si="4"/>
        <v>4.89796526748056</v>
      </c>
      <c r="S66" s="3"/>
      <c r="T66" s="3"/>
      <c r="V66" s="129"/>
      <c r="W66" s="133">
        <f t="shared" si="12"/>
        <v>-4.82719685990143</v>
      </c>
      <c r="Y66" s="139"/>
    </row>
    <row r="67" spans="1:25">
      <c r="A67" s="8" t="s">
        <v>746</v>
      </c>
      <c r="B67" s="8">
        <v>41</v>
      </c>
      <c r="C67" s="117">
        <f t="shared" si="11"/>
        <v>-4.89796526748056</v>
      </c>
      <c r="D67" s="114">
        <f t="shared" si="6"/>
        <v>88.5667528295012</v>
      </c>
      <c r="E67" s="87">
        <f t="shared" si="7"/>
        <v>-4.89796526748056</v>
      </c>
      <c r="F67" s="116">
        <f>IF(B67&lt;$C$17,0,IF(B67=$C$17,-$C$15*#REF!,-P67))</f>
        <v>-4.43296666998314</v>
      </c>
      <c r="G67" s="114">
        <f t="shared" si="8"/>
        <v>-0.464998597497422</v>
      </c>
      <c r="H67" s="8"/>
      <c r="I67" s="114">
        <f t="shared" si="9"/>
        <v>0</v>
      </c>
      <c r="J67" s="117">
        <f t="shared" si="10"/>
        <v>0.0675638987816767</v>
      </c>
      <c r="K67" s="19"/>
      <c r="O67" s="126">
        <v>41</v>
      </c>
      <c r="P67" s="130">
        <f t="shared" si="2"/>
        <v>4.43296666998314</v>
      </c>
      <c r="Q67" s="130">
        <f t="shared" si="3"/>
        <v>0.464998597497422</v>
      </c>
      <c r="R67" s="134">
        <f t="shared" si="4"/>
        <v>4.89796526748056</v>
      </c>
      <c r="S67" s="3"/>
      <c r="T67" s="3"/>
      <c r="W67" s="133">
        <f t="shared" si="12"/>
        <v>-4.83040136869889</v>
      </c>
      <c r="Y67" s="139"/>
    </row>
    <row r="68" spans="1:25">
      <c r="A68" s="8" t="s">
        <v>747</v>
      </c>
      <c r="B68" s="8">
        <v>42</v>
      </c>
      <c r="C68" s="117">
        <f t="shared" si="11"/>
        <v>-4.89796526748056</v>
      </c>
      <c r="D68" s="114">
        <f t="shared" si="6"/>
        <v>84.1116213261682</v>
      </c>
      <c r="E68" s="87">
        <f t="shared" si="7"/>
        <v>-4.89796526748056</v>
      </c>
      <c r="F68" s="116">
        <f>IF(B68&lt;$C$17,0,IF(B68=$C$17,-$C$15*#REF!,-P68))</f>
        <v>-4.45513150333306</v>
      </c>
      <c r="G68" s="114">
        <f t="shared" si="8"/>
        <v>-0.442833764147506</v>
      </c>
      <c r="H68" s="8"/>
      <c r="I68" s="114">
        <f t="shared" si="9"/>
        <v>0</v>
      </c>
      <c r="J68" s="117">
        <f t="shared" si="10"/>
        <v>0.064343367440236</v>
      </c>
      <c r="K68" s="19"/>
      <c r="L68" s="129">
        <f>SUM(W66:W68)</f>
        <v>-14.4912201286406</v>
      </c>
      <c r="O68" s="126">
        <v>42</v>
      </c>
      <c r="P68" s="130">
        <f t="shared" si="2"/>
        <v>4.45513150333306</v>
      </c>
      <c r="Q68" s="130">
        <f t="shared" si="3"/>
        <v>0.442833764147506</v>
      </c>
      <c r="R68" s="134">
        <f t="shared" si="4"/>
        <v>4.89796526748056</v>
      </c>
      <c r="S68" s="3"/>
      <c r="T68" s="3"/>
      <c r="W68" s="133">
        <f t="shared" si="12"/>
        <v>-4.83362190004033</v>
      </c>
      <c r="Y68" s="139"/>
    </row>
    <row r="69" spans="1:25">
      <c r="A69" s="8" t="s">
        <v>748</v>
      </c>
      <c r="B69" s="8">
        <v>43</v>
      </c>
      <c r="C69" s="117">
        <f t="shared" si="11"/>
        <v>-4.89796526748056</v>
      </c>
      <c r="D69" s="114">
        <f t="shared" si="6"/>
        <v>79.6342141653185</v>
      </c>
      <c r="E69" s="87">
        <f t="shared" si="7"/>
        <v>-4.89796526748056</v>
      </c>
      <c r="F69" s="116">
        <f>IF(B69&lt;$C$17,0,IF(B69=$C$17,-$C$15*#REF!,-P69))</f>
        <v>-4.47740716084972</v>
      </c>
      <c r="G69" s="114">
        <f t="shared" si="8"/>
        <v>-0.420558106630841</v>
      </c>
      <c r="H69" s="8"/>
      <c r="I69" s="114">
        <f t="shared" si="9"/>
        <v>0</v>
      </c>
      <c r="J69" s="117">
        <f t="shared" si="10"/>
        <v>0.061106733442088</v>
      </c>
      <c r="K69" s="19"/>
      <c r="O69" s="126">
        <v>43</v>
      </c>
      <c r="P69" s="130">
        <f t="shared" si="2"/>
        <v>4.47740716084972</v>
      </c>
      <c r="Q69" s="130">
        <f t="shared" si="3"/>
        <v>0.420558106630841</v>
      </c>
      <c r="R69" s="134">
        <f t="shared" si="4"/>
        <v>4.89796526748056</v>
      </c>
      <c r="S69" s="3"/>
      <c r="T69" s="3"/>
      <c r="W69" s="133">
        <f t="shared" si="12"/>
        <v>-4.83685853403847</v>
      </c>
      <c r="Y69" s="139"/>
    </row>
    <row r="70" spans="1:25">
      <c r="A70" s="8" t="s">
        <v>749</v>
      </c>
      <c r="B70" s="8">
        <v>44</v>
      </c>
      <c r="C70" s="117">
        <f t="shared" si="11"/>
        <v>-4.89796526748056</v>
      </c>
      <c r="D70" s="114">
        <f t="shared" si="6"/>
        <v>75.1344199686645</v>
      </c>
      <c r="E70" s="87">
        <f t="shared" si="7"/>
        <v>-4.89796526748056</v>
      </c>
      <c r="F70" s="116">
        <f>IF(B70&lt;$C$17,0,IF(B70=$C$17,-$C$15*#REF!,-P70))</f>
        <v>-4.49979419665397</v>
      </c>
      <c r="G70" s="114">
        <f t="shared" si="8"/>
        <v>-0.398171070826592</v>
      </c>
      <c r="H70" s="8"/>
      <c r="I70" s="114">
        <f t="shared" si="9"/>
        <v>0</v>
      </c>
      <c r="J70" s="117">
        <f t="shared" si="10"/>
        <v>0.0578539162739493</v>
      </c>
      <c r="K70" s="19"/>
      <c r="O70" s="126">
        <v>44</v>
      </c>
      <c r="P70" s="130">
        <f t="shared" si="2"/>
        <v>4.49979419665397</v>
      </c>
      <c r="Q70" s="130">
        <f t="shared" si="3"/>
        <v>0.398171070826592</v>
      </c>
      <c r="R70" s="134">
        <f t="shared" si="4"/>
        <v>4.89796526748056</v>
      </c>
      <c r="S70" s="3"/>
      <c r="T70" s="3"/>
      <c r="V70" s="129"/>
      <c r="W70" s="133">
        <f t="shared" si="12"/>
        <v>-4.84011135120661</v>
      </c>
      <c r="Y70" s="139"/>
    </row>
    <row r="71" spans="1:25">
      <c r="A71" s="8" t="s">
        <v>750</v>
      </c>
      <c r="B71" s="8">
        <v>45</v>
      </c>
      <c r="C71" s="117">
        <f t="shared" si="11"/>
        <v>-4.89796526748056</v>
      </c>
      <c r="D71" s="114">
        <f t="shared" si="6"/>
        <v>70.6121268010272</v>
      </c>
      <c r="E71" s="87">
        <f t="shared" si="7"/>
        <v>-4.89796526748056</v>
      </c>
      <c r="F71" s="116">
        <f>IF(B71&lt;$C$17,0,IF(B71=$C$17,-$C$15*#REF!,-P71))</f>
        <v>-4.52229316763724</v>
      </c>
      <c r="G71" s="114">
        <f t="shared" si="8"/>
        <v>-0.375672099843322</v>
      </c>
      <c r="H71" s="8"/>
      <c r="I71" s="114">
        <f t="shared" si="9"/>
        <v>0</v>
      </c>
      <c r="J71" s="117">
        <f t="shared" si="10"/>
        <v>0.0545848350199699</v>
      </c>
      <c r="K71" s="19"/>
      <c r="L71" s="129">
        <f>SUM(W69:W71)</f>
        <v>-14.5203503177057</v>
      </c>
      <c r="O71" s="126">
        <v>45</v>
      </c>
      <c r="P71" s="130">
        <f t="shared" si="2"/>
        <v>4.52229316763724</v>
      </c>
      <c r="Q71" s="130">
        <f t="shared" si="3"/>
        <v>0.375672099843322</v>
      </c>
      <c r="R71" s="134">
        <f t="shared" si="4"/>
        <v>4.89796526748056</v>
      </c>
      <c r="S71" s="3"/>
      <c r="T71" s="3"/>
      <c r="W71" s="133">
        <f t="shared" si="12"/>
        <v>-4.84338043246059</v>
      </c>
      <c r="Y71" s="139"/>
    </row>
    <row r="72" spans="1:25">
      <c r="A72" s="8" t="s">
        <v>751</v>
      </c>
      <c r="B72" s="8">
        <v>46</v>
      </c>
      <c r="C72" s="117">
        <f t="shared" si="11"/>
        <v>-4.89796526748056</v>
      </c>
      <c r="D72" s="114">
        <f t="shared" si="6"/>
        <v>66.0672221675518</v>
      </c>
      <c r="E72" s="87">
        <f t="shared" si="7"/>
        <v>-4.89796526748056</v>
      </c>
      <c r="F72" s="116">
        <f>IF(B72&lt;$C$17,0,IF(B72=$C$17,-$C$15*#REF!,-P72))</f>
        <v>-4.54490463347543</v>
      </c>
      <c r="G72" s="114">
        <f t="shared" si="8"/>
        <v>-0.353060634005137</v>
      </c>
      <c r="H72" s="8"/>
      <c r="I72" s="114">
        <f t="shared" si="9"/>
        <v>0</v>
      </c>
      <c r="J72" s="117">
        <f t="shared" si="10"/>
        <v>0.0512994083597207</v>
      </c>
      <c r="K72" s="19"/>
      <c r="O72" s="126">
        <v>46</v>
      </c>
      <c r="P72" s="130">
        <f t="shared" si="2"/>
        <v>4.54490463347543</v>
      </c>
      <c r="Q72" s="130">
        <f t="shared" si="3"/>
        <v>0.353060634005137</v>
      </c>
      <c r="R72" s="134">
        <f t="shared" si="4"/>
        <v>4.89796526748056</v>
      </c>
      <c r="S72" s="3"/>
      <c r="T72" s="3"/>
      <c r="W72" s="133">
        <f t="shared" si="12"/>
        <v>-4.84666585912084</v>
      </c>
      <c r="Y72" s="139"/>
    </row>
    <row r="73" spans="1:25">
      <c r="A73" s="8" t="s">
        <v>752</v>
      </c>
      <c r="B73" s="8">
        <v>47</v>
      </c>
      <c r="C73" s="117">
        <f t="shared" si="11"/>
        <v>-4.89796526748056</v>
      </c>
      <c r="D73" s="114">
        <f t="shared" si="6"/>
        <v>61.499593010909</v>
      </c>
      <c r="E73" s="87">
        <f t="shared" si="7"/>
        <v>-4.89796526748056</v>
      </c>
      <c r="F73" s="116">
        <f>IF(B73&lt;$C$17,0,IF(B73=$C$17,-$C$15*#REF!,-P73))</f>
        <v>-4.5676291566428</v>
      </c>
      <c r="G73" s="114">
        <f t="shared" si="8"/>
        <v>-0.330336110837759</v>
      </c>
      <c r="H73" s="8"/>
      <c r="I73" s="114">
        <f t="shared" si="9"/>
        <v>0</v>
      </c>
      <c r="J73" s="117">
        <f t="shared" si="10"/>
        <v>0.0479975545661702</v>
      </c>
      <c r="K73" s="19"/>
      <c r="O73" s="126">
        <v>47</v>
      </c>
      <c r="P73" s="130">
        <f t="shared" si="2"/>
        <v>4.5676291566428</v>
      </c>
      <c r="Q73" s="130">
        <f t="shared" si="3"/>
        <v>0.330336110837759</v>
      </c>
      <c r="R73" s="134">
        <f t="shared" si="4"/>
        <v>4.89796526748056</v>
      </c>
      <c r="S73" s="3"/>
      <c r="T73" s="3"/>
      <c r="W73" s="133">
        <f t="shared" si="12"/>
        <v>-4.84996771291439</v>
      </c>
      <c r="Y73" s="139"/>
    </row>
    <row r="74" spans="1:25">
      <c r="A74" s="8" t="s">
        <v>753</v>
      </c>
      <c r="B74" s="8">
        <v>48</v>
      </c>
      <c r="C74" s="117">
        <f t="shared" si="11"/>
        <v>-4.89796526748056</v>
      </c>
      <c r="D74" s="114">
        <f t="shared" si="6"/>
        <v>56.909125708483</v>
      </c>
      <c r="E74" s="87">
        <f t="shared" si="7"/>
        <v>-4.89796526748056</v>
      </c>
      <c r="F74" s="116">
        <f>IF(B74&lt;$C$17,0,IF(B74=$C$17,-$C$15*#REF!,-P74))</f>
        <v>-4.59046730242602</v>
      </c>
      <c r="G74" s="114">
        <f t="shared" si="8"/>
        <v>-0.307497965054545</v>
      </c>
      <c r="H74" s="8"/>
      <c r="I74" s="114">
        <f t="shared" si="9"/>
        <v>0</v>
      </c>
      <c r="J74" s="117">
        <f t="shared" si="10"/>
        <v>0.0446791915036519</v>
      </c>
      <c r="K74" s="19"/>
      <c r="L74" s="129">
        <f>SUM(W72:W74)</f>
        <v>-14.5499196480121</v>
      </c>
      <c r="O74" s="126">
        <v>48</v>
      </c>
      <c r="P74" s="130">
        <f t="shared" si="2"/>
        <v>4.59046730242602</v>
      </c>
      <c r="Q74" s="130">
        <f t="shared" si="3"/>
        <v>0.307497965054545</v>
      </c>
      <c r="R74" s="134">
        <f t="shared" si="4"/>
        <v>4.89796526748056</v>
      </c>
      <c r="S74" s="3"/>
      <c r="T74" s="3"/>
      <c r="V74" s="129"/>
      <c r="W74" s="133">
        <f t="shared" si="12"/>
        <v>-4.85328607597691</v>
      </c>
      <c r="Y74" s="139"/>
    </row>
    <row r="75" spans="1:25">
      <c r="A75" s="8" t="s">
        <v>754</v>
      </c>
      <c r="B75" s="8">
        <v>49</v>
      </c>
      <c r="C75" s="117">
        <f t="shared" si="11"/>
        <v>-4.89796526748056</v>
      </c>
      <c r="D75" s="114">
        <f t="shared" si="6"/>
        <v>52.2957060695449</v>
      </c>
      <c r="E75" s="87">
        <f t="shared" si="7"/>
        <v>-4.89796526748056</v>
      </c>
      <c r="F75" s="116">
        <f>IF(B75&lt;$C$17,0,IF(B75=$C$17,-$C$15*#REF!,-P75))</f>
        <v>-4.61341963893815</v>
      </c>
      <c r="G75" s="114">
        <f t="shared" si="8"/>
        <v>-0.284545628542415</v>
      </c>
      <c r="H75" s="113">
        <f>IF(((B75-1)/12+1)&lt;=$C$20,-$C$19,0)</f>
        <v>0</v>
      </c>
      <c r="I75" s="114">
        <f t="shared" si="9"/>
        <v>0</v>
      </c>
      <c r="J75" s="117">
        <f t="shared" si="10"/>
        <v>0.041344236625821</v>
      </c>
      <c r="K75" s="19">
        <f>-H75*6%</f>
        <v>0</v>
      </c>
      <c r="O75" s="126">
        <v>49</v>
      </c>
      <c r="P75" s="130">
        <f t="shared" si="2"/>
        <v>4.61341963893815</v>
      </c>
      <c r="Q75" s="130">
        <f t="shared" si="3"/>
        <v>0.284545628542415</v>
      </c>
      <c r="R75" s="134">
        <f t="shared" si="4"/>
        <v>4.89796526748056</v>
      </c>
      <c r="S75" s="3"/>
      <c r="T75" s="3"/>
      <c r="W75" s="133">
        <f t="shared" si="12"/>
        <v>-4.85662103085474</v>
      </c>
      <c r="Y75" s="139"/>
    </row>
    <row r="76" spans="1:25">
      <c r="A76" s="8" t="s">
        <v>755</v>
      </c>
      <c r="B76" s="8">
        <v>50</v>
      </c>
      <c r="C76" s="117">
        <f t="shared" si="11"/>
        <v>-4.89796526748056</v>
      </c>
      <c r="D76" s="114">
        <f t="shared" si="6"/>
        <v>47.659219332412</v>
      </c>
      <c r="E76" s="87">
        <f t="shared" si="7"/>
        <v>-4.89796526748056</v>
      </c>
      <c r="F76" s="116">
        <f>IF(B76&lt;$C$17,0,IF(B76=$C$17,-$C$15*#REF!,-P76))</f>
        <v>-4.63648673713284</v>
      </c>
      <c r="G76" s="114">
        <f t="shared" si="8"/>
        <v>-0.261478530347724</v>
      </c>
      <c r="H76" s="8"/>
      <c r="I76" s="114">
        <f t="shared" si="9"/>
        <v>0</v>
      </c>
      <c r="J76" s="117">
        <f t="shared" si="10"/>
        <v>0.037992606973601</v>
      </c>
      <c r="K76" s="19"/>
      <c r="O76" s="126">
        <v>50</v>
      </c>
      <c r="P76" s="130">
        <f t="shared" si="2"/>
        <v>4.63648673713284</v>
      </c>
      <c r="Q76" s="130">
        <f t="shared" si="3"/>
        <v>0.261478530347724</v>
      </c>
      <c r="R76" s="134">
        <f t="shared" si="4"/>
        <v>4.89796526748056</v>
      </c>
      <c r="S76" s="3"/>
      <c r="T76" s="3"/>
      <c r="W76" s="133">
        <f t="shared" si="12"/>
        <v>-4.85997266050696</v>
      </c>
      <c r="Y76" s="139"/>
    </row>
    <row r="77" spans="1:25">
      <c r="A77" s="8" t="s">
        <v>756</v>
      </c>
      <c r="B77" s="8">
        <v>51</v>
      </c>
      <c r="C77" s="117">
        <f t="shared" si="11"/>
        <v>-4.89796526748056</v>
      </c>
      <c r="D77" s="114">
        <f t="shared" si="6"/>
        <v>42.9995501615935</v>
      </c>
      <c r="E77" s="87">
        <f t="shared" si="7"/>
        <v>-4.89796526748056</v>
      </c>
      <c r="F77" s="116">
        <f>IF(B77&lt;$C$17,0,IF(B77=$C$17,-$C$15*#REF!,-P77))</f>
        <v>-4.6596691708185</v>
      </c>
      <c r="G77" s="114">
        <f t="shared" si="8"/>
        <v>-0.23829609666206</v>
      </c>
      <c r="H77" s="8"/>
      <c r="I77" s="114">
        <f t="shared" si="9"/>
        <v>0</v>
      </c>
      <c r="J77" s="117">
        <f t="shared" si="10"/>
        <v>0.0346242191731198</v>
      </c>
      <c r="K77" s="19"/>
      <c r="L77" s="129">
        <f>SUM(W75:W77)</f>
        <v>-14.5799347396691</v>
      </c>
      <c r="O77" s="126">
        <v>51</v>
      </c>
      <c r="P77" s="130">
        <f t="shared" si="2"/>
        <v>4.6596691708185</v>
      </c>
      <c r="Q77" s="130">
        <f t="shared" si="3"/>
        <v>0.23829609666206</v>
      </c>
      <c r="R77" s="134">
        <f t="shared" si="4"/>
        <v>4.89796526748056</v>
      </c>
      <c r="S77" s="3"/>
      <c r="T77" s="3"/>
      <c r="W77" s="133">
        <f t="shared" si="12"/>
        <v>-4.86334104830744</v>
      </c>
      <c r="Y77" s="139"/>
    </row>
    <row r="78" spans="1:25">
      <c r="A78" s="8" t="s">
        <v>757</v>
      </c>
      <c r="B78" s="8">
        <v>52</v>
      </c>
      <c r="C78" s="117">
        <f t="shared" si="11"/>
        <v>-4.89796526748056</v>
      </c>
      <c r="D78" s="114">
        <f t="shared" si="6"/>
        <v>38.3165826449209</v>
      </c>
      <c r="E78" s="87">
        <f t="shared" si="7"/>
        <v>-4.89796526748056</v>
      </c>
      <c r="F78" s="116">
        <f>IF(B78&lt;$C$17,0,IF(B78=$C$17,-$C$15*#REF!,-P78))</f>
        <v>-4.6829675166726</v>
      </c>
      <c r="G78" s="114">
        <f t="shared" si="8"/>
        <v>-0.214997750807967</v>
      </c>
      <c r="H78" s="8"/>
      <c r="I78" s="114">
        <f t="shared" si="9"/>
        <v>0</v>
      </c>
      <c r="J78" s="117">
        <f t="shared" si="10"/>
        <v>0.0312389894336363</v>
      </c>
      <c r="K78" s="19"/>
      <c r="O78" s="126">
        <v>52</v>
      </c>
      <c r="P78" s="130">
        <f t="shared" si="2"/>
        <v>4.6829675166726</v>
      </c>
      <c r="Q78" s="130">
        <f t="shared" si="3"/>
        <v>0.214997750807967</v>
      </c>
      <c r="R78" s="134">
        <f t="shared" si="4"/>
        <v>4.89796526748056</v>
      </c>
      <c r="S78" s="3"/>
      <c r="T78" s="3"/>
      <c r="V78" s="129"/>
      <c r="W78" s="133">
        <f t="shared" si="12"/>
        <v>-4.86672627804693</v>
      </c>
      <c r="Y78" s="139"/>
    </row>
    <row r="79" spans="1:25">
      <c r="A79" s="8" t="s">
        <v>758</v>
      </c>
      <c r="B79" s="8">
        <v>53</v>
      </c>
      <c r="C79" s="117">
        <f t="shared" si="11"/>
        <v>-4.89796526748056</v>
      </c>
      <c r="D79" s="114">
        <f t="shared" si="6"/>
        <v>33.610200290665</v>
      </c>
      <c r="E79" s="87">
        <f t="shared" si="7"/>
        <v>-4.89796526748056</v>
      </c>
      <c r="F79" s="116">
        <f>IF(B79&lt;$C$17,0,IF(B79=$C$17,-$C$15*#REF!,-P79))</f>
        <v>-4.70638235425596</v>
      </c>
      <c r="G79" s="114">
        <f t="shared" si="8"/>
        <v>-0.191582913224605</v>
      </c>
      <c r="H79" s="8"/>
      <c r="I79" s="114">
        <f t="shared" si="9"/>
        <v>0</v>
      </c>
      <c r="J79" s="117">
        <f t="shared" si="10"/>
        <v>0.0278368335454554</v>
      </c>
      <c r="K79" s="19"/>
      <c r="O79" s="126">
        <v>53</v>
      </c>
      <c r="P79" s="130">
        <f t="shared" si="2"/>
        <v>4.70638235425596</v>
      </c>
      <c r="Q79" s="130">
        <f t="shared" si="3"/>
        <v>0.191582913224605</v>
      </c>
      <c r="R79" s="134">
        <f t="shared" si="4"/>
        <v>4.89796526748056</v>
      </c>
      <c r="S79" s="3"/>
      <c r="T79" s="3"/>
      <c r="W79" s="133">
        <f t="shared" si="12"/>
        <v>-4.87012843393511</v>
      </c>
      <c r="Y79" s="139"/>
    </row>
    <row r="80" spans="1:25">
      <c r="A80" s="8" t="s">
        <v>759</v>
      </c>
      <c r="B80" s="8">
        <v>54</v>
      </c>
      <c r="C80" s="117">
        <f t="shared" si="11"/>
        <v>-4.89796526748056</v>
      </c>
      <c r="D80" s="114">
        <f t="shared" si="6"/>
        <v>28.8802860246377</v>
      </c>
      <c r="E80" s="87">
        <f t="shared" si="7"/>
        <v>-4.89796526748056</v>
      </c>
      <c r="F80" s="116">
        <f>IF(B80&lt;$C$17,0,IF(B80=$C$17,-$C$15*#REF!,-P80))</f>
        <v>-4.72991426602724</v>
      </c>
      <c r="G80" s="114">
        <f t="shared" si="8"/>
        <v>-0.168051001453325</v>
      </c>
      <c r="H80" s="8"/>
      <c r="I80" s="114">
        <f t="shared" si="9"/>
        <v>0</v>
      </c>
      <c r="J80" s="117">
        <f t="shared" si="10"/>
        <v>0.0244176668778335</v>
      </c>
      <c r="K80" s="19"/>
      <c r="L80" s="129">
        <f>SUM(W78:W80)</f>
        <v>-14.6104023125848</v>
      </c>
      <c r="O80" s="126">
        <v>54</v>
      </c>
      <c r="P80" s="130">
        <f t="shared" si="2"/>
        <v>4.72991426602724</v>
      </c>
      <c r="Q80" s="130">
        <f t="shared" si="3"/>
        <v>0.168051001453325</v>
      </c>
      <c r="R80" s="134">
        <f t="shared" si="4"/>
        <v>4.89796526748056</v>
      </c>
      <c r="S80" s="3"/>
      <c r="T80" s="3"/>
      <c r="W80" s="133">
        <f t="shared" si="12"/>
        <v>-4.87354760060273</v>
      </c>
      <c r="Y80" s="139"/>
    </row>
    <row r="81" spans="1:25">
      <c r="A81" s="8" t="s">
        <v>760</v>
      </c>
      <c r="B81" s="8">
        <v>55</v>
      </c>
      <c r="C81" s="117">
        <f t="shared" si="11"/>
        <v>-4.89796526748056</v>
      </c>
      <c r="D81" s="114">
        <f t="shared" si="6"/>
        <v>24.1267221872804</v>
      </c>
      <c r="E81" s="87">
        <f t="shared" si="7"/>
        <v>-4.89796526748056</v>
      </c>
      <c r="F81" s="116">
        <f>IF(B81&lt;$C$17,0,IF(B81=$C$17,-$C$15*#REF!,-P81))</f>
        <v>-4.75356383735737</v>
      </c>
      <c r="G81" s="114">
        <f t="shared" si="8"/>
        <v>-0.144401430123188</v>
      </c>
      <c r="H81" s="8"/>
      <c r="I81" s="114">
        <f t="shared" si="9"/>
        <v>0</v>
      </c>
      <c r="J81" s="117">
        <f t="shared" si="10"/>
        <v>0.0209814043768735</v>
      </c>
      <c r="K81" s="19"/>
      <c r="O81" s="126">
        <v>55</v>
      </c>
      <c r="P81" s="130">
        <f t="shared" si="2"/>
        <v>4.75356383735737</v>
      </c>
      <c r="Q81" s="130">
        <f t="shared" si="3"/>
        <v>0.144401430123188</v>
      </c>
      <c r="R81" s="134">
        <f t="shared" si="4"/>
        <v>4.89796526748056</v>
      </c>
      <c r="S81" s="3"/>
      <c r="T81" s="3"/>
      <c r="W81" s="133">
        <f t="shared" si="12"/>
        <v>-4.87698386310369</v>
      </c>
      <c r="Y81" s="139"/>
    </row>
    <row r="82" spans="1:25">
      <c r="A82" s="8" t="s">
        <v>761</v>
      </c>
      <c r="B82" s="8">
        <v>56</v>
      </c>
      <c r="C82" s="117">
        <f t="shared" si="11"/>
        <v>-4.89796526748056</v>
      </c>
      <c r="D82" s="114">
        <f t="shared" si="6"/>
        <v>19.3493905307362</v>
      </c>
      <c r="E82" s="87">
        <f t="shared" si="7"/>
        <v>-4.89796526748056</v>
      </c>
      <c r="F82" s="116">
        <f>IF(B82&lt;$C$17,0,IF(B82=$C$17,-$C$15*#REF!,-P82))</f>
        <v>-4.77733165654416</v>
      </c>
      <c r="G82" s="114">
        <f t="shared" si="8"/>
        <v>-0.120633610936402</v>
      </c>
      <c r="H82" s="8"/>
      <c r="I82" s="114">
        <f t="shared" si="9"/>
        <v>0</v>
      </c>
      <c r="J82" s="117">
        <f t="shared" si="10"/>
        <v>0.0175279605634088</v>
      </c>
      <c r="K82" s="19"/>
      <c r="O82" s="126">
        <v>56</v>
      </c>
      <c r="P82" s="130">
        <f t="shared" si="2"/>
        <v>4.77733165654416</v>
      </c>
      <c r="Q82" s="130">
        <f t="shared" si="3"/>
        <v>0.120633610936402</v>
      </c>
      <c r="R82" s="134">
        <f t="shared" si="4"/>
        <v>4.89796526748056</v>
      </c>
      <c r="S82" s="3"/>
      <c r="T82" s="3"/>
      <c r="V82" s="129"/>
      <c r="W82" s="133">
        <f t="shared" si="12"/>
        <v>-4.88043730691715</v>
      </c>
      <c r="Y82" s="139"/>
    </row>
    <row r="83" spans="1:25">
      <c r="A83" s="8" t="s">
        <v>762</v>
      </c>
      <c r="B83" s="8">
        <v>57</v>
      </c>
      <c r="C83" s="117">
        <f t="shared" si="11"/>
        <v>-4.89796526748056</v>
      </c>
      <c r="D83" s="114">
        <f t="shared" si="6"/>
        <v>14.5481722159093</v>
      </c>
      <c r="E83" s="87">
        <f t="shared" si="7"/>
        <v>-4.89796526748056</v>
      </c>
      <c r="F83" s="116">
        <f>IF(B83&lt;$C$17,0,IF(B83=$C$17,-$C$15*#REF!,-P83))</f>
        <v>-4.80121831482688</v>
      </c>
      <c r="G83" s="114">
        <f t="shared" si="8"/>
        <v>-0.0967469526536808</v>
      </c>
      <c r="H83" s="8"/>
      <c r="I83" s="114">
        <f t="shared" si="9"/>
        <v>0</v>
      </c>
      <c r="J83" s="117">
        <f t="shared" si="10"/>
        <v>0.0140572495308767</v>
      </c>
      <c r="K83" s="19"/>
      <c r="L83" s="129">
        <f>SUM(W81:W83)</f>
        <v>-14.6413291879705</v>
      </c>
      <c r="O83" s="126">
        <v>57</v>
      </c>
      <c r="P83" s="130">
        <f t="shared" si="2"/>
        <v>4.80121831482688</v>
      </c>
      <c r="Q83" s="130">
        <f t="shared" si="3"/>
        <v>0.0967469526536808</v>
      </c>
      <c r="R83" s="134">
        <f t="shared" si="4"/>
        <v>4.89796526748056</v>
      </c>
      <c r="S83" s="3"/>
      <c r="T83" s="3"/>
      <c r="W83" s="133">
        <f t="shared" si="12"/>
        <v>-4.88390801794969</v>
      </c>
      <c r="Y83" s="139"/>
    </row>
    <row r="84" spans="1:25">
      <c r="A84" s="8" t="s">
        <v>763</v>
      </c>
      <c r="B84" s="8">
        <v>58</v>
      </c>
      <c r="C84" s="117">
        <f t="shared" si="11"/>
        <v>-4.89796526748056</v>
      </c>
      <c r="D84" s="114">
        <f t="shared" si="6"/>
        <v>9.72294780950829</v>
      </c>
      <c r="E84" s="87">
        <f t="shared" si="7"/>
        <v>-4.89796526748056</v>
      </c>
      <c r="F84" s="116">
        <f>IF(B84&lt;$C$17,0,IF(B84=$C$17,-$C$15*#REF!,-P84))</f>
        <v>-4.82522440640102</v>
      </c>
      <c r="G84" s="114">
        <f t="shared" si="8"/>
        <v>-0.0727408610795459</v>
      </c>
      <c r="H84" s="8"/>
      <c r="I84" s="114">
        <f t="shared" si="9"/>
        <v>0</v>
      </c>
      <c r="J84" s="117">
        <f t="shared" si="10"/>
        <v>0.0105691849431819</v>
      </c>
      <c r="K84" s="19"/>
      <c r="O84" s="126">
        <v>58</v>
      </c>
      <c r="P84" s="130">
        <f t="shared" si="2"/>
        <v>4.82522440640102</v>
      </c>
      <c r="Q84" s="130">
        <f t="shared" si="3"/>
        <v>0.0727408610795459</v>
      </c>
      <c r="R84" s="134">
        <f t="shared" si="4"/>
        <v>4.89796526748056</v>
      </c>
      <c r="S84" s="3"/>
      <c r="T84" s="3"/>
      <c r="W84" s="133">
        <f t="shared" si="12"/>
        <v>-4.88739608253738</v>
      </c>
      <c r="Y84" s="139"/>
    </row>
    <row r="85" spans="1:25">
      <c r="A85" s="8" t="s">
        <v>764</v>
      </c>
      <c r="B85" s="8">
        <v>59</v>
      </c>
      <c r="C85" s="117">
        <f t="shared" si="11"/>
        <v>-4.89796526748056</v>
      </c>
      <c r="D85" s="114">
        <f t="shared" si="6"/>
        <v>4.87359728107527</v>
      </c>
      <c r="E85" s="87">
        <f t="shared" si="7"/>
        <v>-4.89796526748056</v>
      </c>
      <c r="F85" s="116">
        <f>IF(B85&lt;$C$17,0,IF(B85=$C$17,-$C$15*#REF!,-P85))</f>
        <v>-4.84935052843302</v>
      </c>
      <c r="G85" s="114">
        <f t="shared" si="8"/>
        <v>-0.0486147390475411</v>
      </c>
      <c r="H85" s="8"/>
      <c r="I85" s="114">
        <f t="shared" si="9"/>
        <v>0</v>
      </c>
      <c r="J85" s="117">
        <f t="shared" si="10"/>
        <v>0.00706368003254871</v>
      </c>
      <c r="K85" s="19"/>
      <c r="O85" s="126">
        <v>59</v>
      </c>
      <c r="P85" s="130">
        <f t="shared" si="2"/>
        <v>4.84935052843302</v>
      </c>
      <c r="Q85" s="130">
        <f t="shared" si="3"/>
        <v>0.0486147390475411</v>
      </c>
      <c r="R85" s="134">
        <f t="shared" si="4"/>
        <v>4.89796526748056</v>
      </c>
      <c r="S85" s="3"/>
      <c r="T85" s="3"/>
      <c r="W85" s="133">
        <f t="shared" si="12"/>
        <v>-4.89090158744801</v>
      </c>
      <c r="Y85" s="139"/>
    </row>
    <row r="86" spans="1:25">
      <c r="A86" s="8" t="s">
        <v>765</v>
      </c>
      <c r="B86" s="8">
        <v>60</v>
      </c>
      <c r="C86" s="117">
        <f t="shared" si="11"/>
        <v>-4.89796526748056</v>
      </c>
      <c r="D86" s="114">
        <f t="shared" si="6"/>
        <v>8.5265128291212e-14</v>
      </c>
      <c r="E86" s="87">
        <f t="shared" si="7"/>
        <v>-4.89796526748056</v>
      </c>
      <c r="F86" s="116">
        <f>IF(B86&lt;$C$17,0,IF(B86=$C$17,-$C$15*#REF!,-P86))</f>
        <v>-4.87359728107519</v>
      </c>
      <c r="G86" s="114">
        <f t="shared" si="8"/>
        <v>-0.0243679864053759</v>
      </c>
      <c r="H86" s="8"/>
      <c r="I86" s="114">
        <f t="shared" si="9"/>
        <v>0</v>
      </c>
      <c r="J86" s="117">
        <f t="shared" si="10"/>
        <v>0.0035406475973623</v>
      </c>
      <c r="K86" s="19"/>
      <c r="L86" s="129">
        <f>SUM(W84:W86)</f>
        <v>-14.6727222898686</v>
      </c>
      <c r="O86" s="126">
        <v>60</v>
      </c>
      <c r="P86" s="130">
        <f t="shared" si="2"/>
        <v>4.87359728107519</v>
      </c>
      <c r="Q86" s="130">
        <f t="shared" si="3"/>
        <v>0.0243679864053759</v>
      </c>
      <c r="R86" s="134">
        <f t="shared" si="4"/>
        <v>4.89796526748056</v>
      </c>
      <c r="S86" s="3"/>
      <c r="T86" s="3"/>
      <c r="V86" s="129"/>
      <c r="W86" s="133">
        <f t="shared" si="12"/>
        <v>-4.8944246198832</v>
      </c>
      <c r="Y86" s="139"/>
    </row>
    <row r="87" spans="1:25">
      <c r="A87" s="8" t="s">
        <v>766</v>
      </c>
      <c r="B87" s="8">
        <v>61</v>
      </c>
      <c r="C87" s="117">
        <f t="shared" si="11"/>
        <v>-4.89796526748056</v>
      </c>
      <c r="D87" s="114">
        <f t="shared" si="6"/>
        <v>8.5265128291212e-14</v>
      </c>
      <c r="E87" s="87">
        <f t="shared" si="7"/>
        <v>0</v>
      </c>
      <c r="F87" s="115">
        <f>IF(B87&lt;$C$17,0,IF(B87=$C$17,-$C$15*#REF!,-P87))</f>
        <v>0</v>
      </c>
      <c r="G87" s="114">
        <f t="shared" si="8"/>
        <v>0</v>
      </c>
      <c r="H87" s="113">
        <f>IF(((B87-1)/12+1)&lt;=$C$20,-$C$19,0)</f>
        <v>0</v>
      </c>
      <c r="I87" s="114">
        <f t="shared" si="9"/>
        <v>0</v>
      </c>
      <c r="J87" s="117">
        <f t="shared" si="10"/>
        <v>0</v>
      </c>
      <c r="K87" s="19"/>
      <c r="O87" s="126">
        <v>61</v>
      </c>
      <c r="P87" s="130">
        <f t="shared" si="2"/>
        <v>0</v>
      </c>
      <c r="Q87" s="130">
        <f t="shared" si="3"/>
        <v>0</v>
      </c>
      <c r="R87" s="134">
        <f t="shared" si="4"/>
        <v>0</v>
      </c>
      <c r="S87" s="3"/>
      <c r="T87" s="3"/>
      <c r="W87" s="133">
        <f t="shared" si="12"/>
        <v>0</v>
      </c>
      <c r="Y87" s="139"/>
    </row>
    <row r="88" spans="1:25">
      <c r="A88" s="8" t="s">
        <v>767</v>
      </c>
      <c r="B88" s="8">
        <v>62</v>
      </c>
      <c r="C88" s="117">
        <f t="shared" si="11"/>
        <v>0</v>
      </c>
      <c r="D88" s="114">
        <f t="shared" si="6"/>
        <v>8.5265128291212e-14</v>
      </c>
      <c r="E88" s="87">
        <f t="shared" si="7"/>
        <v>0</v>
      </c>
      <c r="F88" s="115">
        <f>IF(B88&lt;$C$17,0,IF(B88=$C$17,-$C$15*#REF!,-P88))</f>
        <v>0</v>
      </c>
      <c r="G88" s="114">
        <f t="shared" si="8"/>
        <v>0</v>
      </c>
      <c r="H88" s="8"/>
      <c r="I88" s="114">
        <f t="shared" si="9"/>
        <v>0</v>
      </c>
      <c r="J88" s="117">
        <f t="shared" si="10"/>
        <v>0</v>
      </c>
      <c r="K88" s="19"/>
      <c r="O88" s="126">
        <v>62</v>
      </c>
      <c r="P88" s="130">
        <f t="shared" ref="P88:P146" si="13">IF(B88&lt;=$C$17,0,IF(B88&gt;$C$16,0,PPMT($P$24,O88-$C$17,$T$24,-$R$24)))</f>
        <v>0</v>
      </c>
      <c r="Q88" s="130">
        <f t="shared" si="3"/>
        <v>0</v>
      </c>
      <c r="R88" s="134">
        <f t="shared" ref="R88:R146" si="14">IF(B88&lt;=$C$17,0,IF(B88&gt;$C$16,0,PMT($P$24,$T$24,-$R$24)))</f>
        <v>0</v>
      </c>
      <c r="S88" s="3"/>
      <c r="T88" s="3"/>
      <c r="W88" s="133">
        <f t="shared" si="12"/>
        <v>0</v>
      </c>
      <c r="Y88" s="139"/>
    </row>
    <row r="89" spans="1:25">
      <c r="A89" s="8" t="s">
        <v>768</v>
      </c>
      <c r="B89" s="8">
        <v>63</v>
      </c>
      <c r="C89" s="117">
        <f t="shared" si="11"/>
        <v>0</v>
      </c>
      <c r="D89" s="114">
        <f t="shared" si="6"/>
        <v>8.5265128291212e-14</v>
      </c>
      <c r="E89" s="87">
        <f t="shared" si="7"/>
        <v>0</v>
      </c>
      <c r="F89" s="115">
        <f>IF(B89&lt;$C$17,0,IF(B89=$C$17,-$C$15*#REF!,-P89))</f>
        <v>0</v>
      </c>
      <c r="G89" s="114">
        <f t="shared" si="8"/>
        <v>0</v>
      </c>
      <c r="H89" s="8"/>
      <c r="I89" s="114">
        <f t="shared" si="9"/>
        <v>0</v>
      </c>
      <c r="J89" s="117">
        <f t="shared" si="10"/>
        <v>0</v>
      </c>
      <c r="K89" s="19"/>
      <c r="L89" s="129">
        <f>SUM(W87:W89)</f>
        <v>0</v>
      </c>
      <c r="O89" s="126">
        <v>63</v>
      </c>
      <c r="P89" s="130">
        <f t="shared" si="13"/>
        <v>0</v>
      </c>
      <c r="Q89" s="130">
        <f t="shared" ref="Q89:Q146" si="15">IF(B89&lt;=$C$17,0,IF(B89&gt;$C$16,0,IF(Q88=0,PRODUCT($R$24,$P$24),R89-P89)))</f>
        <v>0</v>
      </c>
      <c r="R89" s="134">
        <f t="shared" si="14"/>
        <v>0</v>
      </c>
      <c r="S89" s="3"/>
      <c r="T89" s="3"/>
      <c r="W89" s="133">
        <f t="shared" si="12"/>
        <v>0</v>
      </c>
      <c r="Y89" s="139"/>
    </row>
    <row r="90" spans="1:25">
      <c r="A90" s="8" t="s">
        <v>769</v>
      </c>
      <c r="B90" s="8">
        <v>64</v>
      </c>
      <c r="C90" s="117">
        <f t="shared" si="11"/>
        <v>0</v>
      </c>
      <c r="D90" s="114">
        <f t="shared" si="6"/>
        <v>8.5265128291212e-14</v>
      </c>
      <c r="E90" s="87">
        <f t="shared" si="7"/>
        <v>0</v>
      </c>
      <c r="F90" s="115">
        <f>IF(B90&lt;$C$17,0,IF(B90=$C$17,-$C$15*#REF!,-P90))</f>
        <v>0</v>
      </c>
      <c r="G90" s="114">
        <f t="shared" si="8"/>
        <v>0</v>
      </c>
      <c r="H90" s="8"/>
      <c r="I90" s="114">
        <f t="shared" si="9"/>
        <v>0</v>
      </c>
      <c r="J90" s="117">
        <f t="shared" si="10"/>
        <v>0</v>
      </c>
      <c r="K90" s="19"/>
      <c r="O90" s="126">
        <v>64</v>
      </c>
      <c r="P90" s="130">
        <f t="shared" si="13"/>
        <v>0</v>
      </c>
      <c r="Q90" s="130">
        <f t="shared" si="15"/>
        <v>0</v>
      </c>
      <c r="R90" s="134">
        <f t="shared" si="14"/>
        <v>0</v>
      </c>
      <c r="S90" s="3"/>
      <c r="T90" s="3"/>
      <c r="V90" s="129"/>
      <c r="W90" s="133">
        <f t="shared" si="12"/>
        <v>0</v>
      </c>
      <c r="Y90" s="139"/>
    </row>
    <row r="91" spans="1:25">
      <c r="A91" s="8" t="s">
        <v>770</v>
      </c>
      <c r="B91" s="8">
        <v>65</v>
      </c>
      <c r="C91" s="117">
        <f t="shared" si="11"/>
        <v>0</v>
      </c>
      <c r="D91" s="114">
        <f t="shared" si="6"/>
        <v>8.5265128291212e-14</v>
      </c>
      <c r="E91" s="87">
        <f t="shared" si="7"/>
        <v>0</v>
      </c>
      <c r="F91" s="115">
        <f>IF(B91&lt;$C$17,0,IF(B91=$C$17,-$C$15*#REF!,-P91))</f>
        <v>0</v>
      </c>
      <c r="G91" s="114">
        <f t="shared" si="8"/>
        <v>0</v>
      </c>
      <c r="H91" s="8"/>
      <c r="I91" s="114">
        <f t="shared" si="9"/>
        <v>0</v>
      </c>
      <c r="J91" s="117">
        <f t="shared" si="10"/>
        <v>0</v>
      </c>
      <c r="K91" s="19"/>
      <c r="O91" s="126">
        <v>65</v>
      </c>
      <c r="P91" s="130">
        <f t="shared" si="13"/>
        <v>0</v>
      </c>
      <c r="Q91" s="130">
        <f t="shared" si="15"/>
        <v>0</v>
      </c>
      <c r="R91" s="134">
        <f t="shared" si="14"/>
        <v>0</v>
      </c>
      <c r="S91" s="3"/>
      <c r="T91" s="3"/>
      <c r="W91" s="133">
        <f t="shared" si="12"/>
        <v>0</v>
      </c>
      <c r="Y91" s="139"/>
    </row>
    <row r="92" spans="1:25">
      <c r="A92" s="8" t="s">
        <v>771</v>
      </c>
      <c r="B92" s="8">
        <v>66</v>
      </c>
      <c r="C92" s="117">
        <f t="shared" si="11"/>
        <v>0</v>
      </c>
      <c r="D92" s="114">
        <f t="shared" ref="D92:D146" si="16">D91+F92</f>
        <v>8.5265128291212e-14</v>
      </c>
      <c r="E92" s="87">
        <f t="shared" ref="E92:E146" si="17">SUM(F92:G92)</f>
        <v>0</v>
      </c>
      <c r="F92" s="115">
        <f>IF(B92&lt;$C$17,0,IF(B92=$C$17,-$C$15*#REF!,-P92))</f>
        <v>0</v>
      </c>
      <c r="G92" s="114">
        <f t="shared" ref="G92:G146" si="18">IF(B92&lt;=$C$17,-$D$27*$C$18/12,-Q92)</f>
        <v>0</v>
      </c>
      <c r="H92" s="8"/>
      <c r="I92" s="114">
        <f t="shared" ref="I92:I146" si="19">IF(B92=$C$16,-$I$26,)</f>
        <v>0</v>
      </c>
      <c r="J92" s="117">
        <f t="shared" ref="J92:J146" si="20">-G92/1.17*17%</f>
        <v>0</v>
      </c>
      <c r="K92" s="19"/>
      <c r="L92" s="129">
        <f>SUM(W90:W92)</f>
        <v>0</v>
      </c>
      <c r="O92" s="126">
        <v>66</v>
      </c>
      <c r="P92" s="130">
        <f t="shared" si="13"/>
        <v>0</v>
      </c>
      <c r="Q92" s="130">
        <f t="shared" si="15"/>
        <v>0</v>
      </c>
      <c r="R92" s="134">
        <f t="shared" si="14"/>
        <v>0</v>
      </c>
      <c r="S92" s="3"/>
      <c r="T92" s="3"/>
      <c r="W92" s="133">
        <f t="shared" si="12"/>
        <v>0</v>
      </c>
      <c r="Y92" s="139"/>
    </row>
    <row r="93" spans="1:25">
      <c r="A93" s="8" t="s">
        <v>772</v>
      </c>
      <c r="B93" s="8">
        <v>67</v>
      </c>
      <c r="C93" s="117">
        <f t="shared" ref="C93:C147" si="21">SUM(F92:I92)</f>
        <v>0</v>
      </c>
      <c r="D93" s="114">
        <f t="shared" si="16"/>
        <v>8.5265128291212e-14</v>
      </c>
      <c r="E93" s="87">
        <f t="shared" si="17"/>
        <v>0</v>
      </c>
      <c r="F93" s="115">
        <f>IF(B93&lt;$C$17,0,IF(B93=$C$17,-$C$15*#REF!,-P93))</f>
        <v>0</v>
      </c>
      <c r="G93" s="114">
        <f t="shared" si="18"/>
        <v>0</v>
      </c>
      <c r="H93" s="8"/>
      <c r="I93" s="114">
        <f t="shared" si="19"/>
        <v>0</v>
      </c>
      <c r="J93" s="117">
        <f t="shared" si="20"/>
        <v>0</v>
      </c>
      <c r="K93" s="19"/>
      <c r="O93" s="126">
        <v>67</v>
      </c>
      <c r="P93" s="130">
        <f t="shared" si="13"/>
        <v>0</v>
      </c>
      <c r="Q93" s="130">
        <f t="shared" si="15"/>
        <v>0</v>
      </c>
      <c r="R93" s="134">
        <f t="shared" si="14"/>
        <v>0</v>
      </c>
      <c r="S93" s="3"/>
      <c r="T93" s="3"/>
      <c r="W93" s="133">
        <f t="shared" si="12"/>
        <v>0</v>
      </c>
      <c r="Y93" s="139"/>
    </row>
    <row r="94" spans="1:25">
      <c r="A94" s="8" t="s">
        <v>773</v>
      </c>
      <c r="B94" s="8">
        <v>68</v>
      </c>
      <c r="C94" s="117">
        <f t="shared" si="21"/>
        <v>0</v>
      </c>
      <c r="D94" s="114">
        <f t="shared" si="16"/>
        <v>8.5265128291212e-14</v>
      </c>
      <c r="E94" s="87">
        <f t="shared" si="17"/>
        <v>0</v>
      </c>
      <c r="F94" s="115">
        <f>IF(B94&lt;$C$17,0,IF(B94=$C$17,-$C$15*#REF!,-P94))</f>
        <v>0</v>
      </c>
      <c r="G94" s="114">
        <f t="shared" si="18"/>
        <v>0</v>
      </c>
      <c r="H94" s="8"/>
      <c r="I94" s="114">
        <f t="shared" si="19"/>
        <v>0</v>
      </c>
      <c r="J94" s="117">
        <f t="shared" si="20"/>
        <v>0</v>
      </c>
      <c r="K94" s="19"/>
      <c r="O94" s="126">
        <v>68</v>
      </c>
      <c r="P94" s="130">
        <f t="shared" si="13"/>
        <v>0</v>
      </c>
      <c r="Q94" s="130">
        <f t="shared" si="15"/>
        <v>0</v>
      </c>
      <c r="R94" s="134">
        <f t="shared" si="14"/>
        <v>0</v>
      </c>
      <c r="S94" s="3"/>
      <c r="T94" s="3"/>
      <c r="V94" s="129"/>
      <c r="W94" s="133">
        <f t="shared" si="12"/>
        <v>0</v>
      </c>
      <c r="Y94" s="139"/>
    </row>
    <row r="95" spans="1:25">
      <c r="A95" s="8" t="s">
        <v>774</v>
      </c>
      <c r="B95" s="8">
        <v>69</v>
      </c>
      <c r="C95" s="117">
        <f t="shared" si="21"/>
        <v>0</v>
      </c>
      <c r="D95" s="114">
        <f t="shared" si="16"/>
        <v>8.5265128291212e-14</v>
      </c>
      <c r="E95" s="87">
        <f t="shared" si="17"/>
        <v>0</v>
      </c>
      <c r="F95" s="115">
        <f>IF(B95&lt;$C$17,0,IF(B95=$C$17,-$C$15*#REF!,-P95))</f>
        <v>0</v>
      </c>
      <c r="G95" s="114">
        <f t="shared" si="18"/>
        <v>0</v>
      </c>
      <c r="H95" s="8"/>
      <c r="I95" s="114">
        <f t="shared" si="19"/>
        <v>0</v>
      </c>
      <c r="J95" s="117">
        <f t="shared" si="20"/>
        <v>0</v>
      </c>
      <c r="K95" s="19"/>
      <c r="L95" s="129">
        <f>SUM(W93:W95)</f>
        <v>0</v>
      </c>
      <c r="O95" s="126">
        <v>69</v>
      </c>
      <c r="P95" s="130">
        <f t="shared" si="13"/>
        <v>0</v>
      </c>
      <c r="Q95" s="130">
        <f t="shared" si="15"/>
        <v>0</v>
      </c>
      <c r="R95" s="134">
        <f t="shared" si="14"/>
        <v>0</v>
      </c>
      <c r="S95" s="3"/>
      <c r="T95" s="3"/>
      <c r="W95" s="133">
        <f t="shared" si="12"/>
        <v>0</v>
      </c>
      <c r="Y95" s="139"/>
    </row>
    <row r="96" spans="1:25">
      <c r="A96" s="8" t="s">
        <v>775</v>
      </c>
      <c r="B96" s="8">
        <v>70</v>
      </c>
      <c r="C96" s="117">
        <f t="shared" si="21"/>
        <v>0</v>
      </c>
      <c r="D96" s="114">
        <f t="shared" si="16"/>
        <v>8.5265128291212e-14</v>
      </c>
      <c r="E96" s="87">
        <f t="shared" si="17"/>
        <v>0</v>
      </c>
      <c r="F96" s="115">
        <f>IF(B96&lt;$C$17,0,IF(B96=$C$17,-$C$15*#REF!,-P96))</f>
        <v>0</v>
      </c>
      <c r="G96" s="114">
        <f t="shared" si="18"/>
        <v>0</v>
      </c>
      <c r="H96" s="8"/>
      <c r="I96" s="114">
        <f t="shared" si="19"/>
        <v>0</v>
      </c>
      <c r="J96" s="117">
        <f t="shared" si="20"/>
        <v>0</v>
      </c>
      <c r="K96" s="19"/>
      <c r="O96" s="126">
        <v>70</v>
      </c>
      <c r="P96" s="130">
        <f t="shared" si="13"/>
        <v>0</v>
      </c>
      <c r="Q96" s="130">
        <f t="shared" si="15"/>
        <v>0</v>
      </c>
      <c r="R96" s="134">
        <f t="shared" si="14"/>
        <v>0</v>
      </c>
      <c r="S96" s="3"/>
      <c r="T96" s="3"/>
      <c r="W96" s="133">
        <f t="shared" si="12"/>
        <v>0</v>
      </c>
      <c r="Y96" s="139"/>
    </row>
    <row r="97" spans="1:25">
      <c r="A97" s="8" t="s">
        <v>776</v>
      </c>
      <c r="B97" s="8">
        <v>71</v>
      </c>
      <c r="C97" s="117">
        <f t="shared" si="21"/>
        <v>0</v>
      </c>
      <c r="D97" s="114">
        <f t="shared" si="16"/>
        <v>8.5265128291212e-14</v>
      </c>
      <c r="E97" s="87">
        <f t="shared" si="17"/>
        <v>0</v>
      </c>
      <c r="F97" s="115">
        <f>IF(B97&lt;$C$17,0,IF(B97=$C$17,-$C$15*#REF!,-P97))</f>
        <v>0</v>
      </c>
      <c r="G97" s="114">
        <f t="shared" si="18"/>
        <v>0</v>
      </c>
      <c r="H97" s="8"/>
      <c r="I97" s="114">
        <f t="shared" si="19"/>
        <v>0</v>
      </c>
      <c r="J97" s="117">
        <f t="shared" si="20"/>
        <v>0</v>
      </c>
      <c r="K97" s="19"/>
      <c r="O97" s="126">
        <v>71</v>
      </c>
      <c r="P97" s="130">
        <f t="shared" si="13"/>
        <v>0</v>
      </c>
      <c r="Q97" s="130">
        <f t="shared" si="15"/>
        <v>0</v>
      </c>
      <c r="R97" s="134">
        <f t="shared" si="14"/>
        <v>0</v>
      </c>
      <c r="S97" s="3"/>
      <c r="T97" s="3"/>
      <c r="W97" s="133">
        <f t="shared" si="12"/>
        <v>0</v>
      </c>
      <c r="Y97" s="139"/>
    </row>
    <row r="98" spans="1:25">
      <c r="A98" s="8" t="s">
        <v>777</v>
      </c>
      <c r="B98" s="8">
        <v>72</v>
      </c>
      <c r="C98" s="117">
        <f t="shared" si="21"/>
        <v>0</v>
      </c>
      <c r="D98" s="114">
        <f t="shared" si="16"/>
        <v>8.5265128291212e-14</v>
      </c>
      <c r="E98" s="87">
        <f t="shared" si="17"/>
        <v>0</v>
      </c>
      <c r="F98" s="115">
        <f>IF(B98&lt;$C$17,0,IF(B98=$C$17,-$C$15*#REF!,-P98))</f>
        <v>0</v>
      </c>
      <c r="G98" s="114">
        <f t="shared" si="18"/>
        <v>0</v>
      </c>
      <c r="H98" s="8"/>
      <c r="I98" s="114">
        <f t="shared" si="19"/>
        <v>0</v>
      </c>
      <c r="J98" s="117">
        <f t="shared" si="20"/>
        <v>0</v>
      </c>
      <c r="K98" s="19"/>
      <c r="L98" s="129">
        <f>SUM(W96:W98)</f>
        <v>0</v>
      </c>
      <c r="O98" s="126">
        <v>72</v>
      </c>
      <c r="P98" s="130">
        <f t="shared" si="13"/>
        <v>0</v>
      </c>
      <c r="Q98" s="130">
        <f t="shared" si="15"/>
        <v>0</v>
      </c>
      <c r="R98" s="134">
        <f t="shared" si="14"/>
        <v>0</v>
      </c>
      <c r="S98" s="3"/>
      <c r="T98" s="3"/>
      <c r="V98" s="129"/>
      <c r="W98" s="133">
        <f t="shared" si="12"/>
        <v>0</v>
      </c>
      <c r="Y98" s="139"/>
    </row>
    <row r="99" spans="1:25">
      <c r="A99" s="8" t="s">
        <v>778</v>
      </c>
      <c r="B99" s="8">
        <v>73</v>
      </c>
      <c r="C99" s="117">
        <f t="shared" si="21"/>
        <v>0</v>
      </c>
      <c r="D99" s="114">
        <f t="shared" si="16"/>
        <v>8.5265128291212e-14</v>
      </c>
      <c r="E99" s="87">
        <f t="shared" si="17"/>
        <v>0</v>
      </c>
      <c r="F99" s="115">
        <f>IF(B99&lt;$C$17,0,IF(B99=$C$17,-$C$15*#REF!,-P99))</f>
        <v>0</v>
      </c>
      <c r="G99" s="114">
        <f t="shared" si="18"/>
        <v>0</v>
      </c>
      <c r="H99" s="113">
        <f>IF(((B99-1)/12+1)&lt;=$C$20,-$C$19,0)</f>
        <v>0</v>
      </c>
      <c r="I99" s="114">
        <f t="shared" si="19"/>
        <v>0</v>
      </c>
      <c r="J99" s="117">
        <f t="shared" si="20"/>
        <v>0</v>
      </c>
      <c r="K99" s="19"/>
      <c r="O99" s="126">
        <v>73</v>
      </c>
      <c r="P99" s="130">
        <f t="shared" si="13"/>
        <v>0</v>
      </c>
      <c r="Q99" s="130">
        <f t="shared" si="15"/>
        <v>0</v>
      </c>
      <c r="R99" s="134">
        <f t="shared" si="14"/>
        <v>0</v>
      </c>
      <c r="S99" s="3"/>
      <c r="T99" s="3"/>
      <c r="W99" s="133">
        <f t="shared" si="12"/>
        <v>0</v>
      </c>
      <c r="Y99" s="139"/>
    </row>
    <row r="100" spans="1:25">
      <c r="A100" s="8" t="s">
        <v>779</v>
      </c>
      <c r="B100" s="8">
        <v>74</v>
      </c>
      <c r="C100" s="117">
        <f t="shared" si="21"/>
        <v>0</v>
      </c>
      <c r="D100" s="114">
        <f t="shared" si="16"/>
        <v>8.5265128291212e-14</v>
      </c>
      <c r="E100" s="87">
        <f t="shared" si="17"/>
        <v>0</v>
      </c>
      <c r="F100" s="115">
        <f>IF(B100&lt;$C$17,0,IF(B100=$C$17,-$C$15*#REF!,-P100))</f>
        <v>0</v>
      </c>
      <c r="G100" s="114">
        <f t="shared" si="18"/>
        <v>0</v>
      </c>
      <c r="H100" s="8"/>
      <c r="I100" s="114">
        <f t="shared" si="19"/>
        <v>0</v>
      </c>
      <c r="J100" s="117">
        <f t="shared" si="20"/>
        <v>0</v>
      </c>
      <c r="K100" s="19"/>
      <c r="O100" s="126">
        <v>74</v>
      </c>
      <c r="P100" s="130">
        <f t="shared" si="13"/>
        <v>0</v>
      </c>
      <c r="Q100" s="130">
        <f t="shared" si="15"/>
        <v>0</v>
      </c>
      <c r="R100" s="134">
        <f t="shared" si="14"/>
        <v>0</v>
      </c>
      <c r="S100" s="3"/>
      <c r="T100" s="3"/>
      <c r="W100" s="133">
        <f t="shared" si="12"/>
        <v>0</v>
      </c>
      <c r="Y100" s="139"/>
    </row>
    <row r="101" spans="1:25">
      <c r="A101" s="8" t="s">
        <v>780</v>
      </c>
      <c r="B101" s="8">
        <v>75</v>
      </c>
      <c r="C101" s="117">
        <f t="shared" si="21"/>
        <v>0</v>
      </c>
      <c r="D101" s="114">
        <f t="shared" si="16"/>
        <v>8.5265128291212e-14</v>
      </c>
      <c r="E101" s="87">
        <f t="shared" si="17"/>
        <v>0</v>
      </c>
      <c r="F101" s="115">
        <f>IF(B101&lt;$C$17,0,IF(B101=$C$17,-$C$15*#REF!,-P101))</f>
        <v>0</v>
      </c>
      <c r="G101" s="114">
        <f t="shared" si="18"/>
        <v>0</v>
      </c>
      <c r="H101" s="8"/>
      <c r="I101" s="114">
        <f t="shared" si="19"/>
        <v>0</v>
      </c>
      <c r="J101" s="117">
        <f t="shared" si="20"/>
        <v>0</v>
      </c>
      <c r="K101" s="19"/>
      <c r="L101" s="129">
        <f>SUM(W99:W101)</f>
        <v>0</v>
      </c>
      <c r="O101" s="126">
        <v>75</v>
      </c>
      <c r="P101" s="130">
        <f t="shared" si="13"/>
        <v>0</v>
      </c>
      <c r="Q101" s="130">
        <f t="shared" si="15"/>
        <v>0</v>
      </c>
      <c r="R101" s="134">
        <f t="shared" si="14"/>
        <v>0</v>
      </c>
      <c r="S101" s="3"/>
      <c r="T101" s="3"/>
      <c r="W101" s="133">
        <f t="shared" si="12"/>
        <v>0</v>
      </c>
      <c r="Y101" s="139"/>
    </row>
    <row r="102" spans="1:25">
      <c r="A102" s="8" t="s">
        <v>781</v>
      </c>
      <c r="B102" s="8">
        <v>76</v>
      </c>
      <c r="C102" s="117">
        <f t="shared" si="21"/>
        <v>0</v>
      </c>
      <c r="D102" s="114">
        <f t="shared" si="16"/>
        <v>8.5265128291212e-14</v>
      </c>
      <c r="E102" s="87">
        <f t="shared" si="17"/>
        <v>0</v>
      </c>
      <c r="F102" s="115">
        <f>IF(B102&lt;$C$17,0,IF(B102=$C$17,-$C$15*#REF!,-P102))</f>
        <v>0</v>
      </c>
      <c r="G102" s="114">
        <f t="shared" si="18"/>
        <v>0</v>
      </c>
      <c r="H102" s="8"/>
      <c r="I102" s="114">
        <f t="shared" si="19"/>
        <v>0</v>
      </c>
      <c r="J102" s="117">
        <f t="shared" si="20"/>
        <v>0</v>
      </c>
      <c r="K102" s="19"/>
      <c r="O102" s="126">
        <v>76</v>
      </c>
      <c r="P102" s="130">
        <f t="shared" si="13"/>
        <v>0</v>
      </c>
      <c r="Q102" s="130">
        <f t="shared" si="15"/>
        <v>0</v>
      </c>
      <c r="R102" s="134">
        <f t="shared" si="14"/>
        <v>0</v>
      </c>
      <c r="S102" s="3"/>
      <c r="T102" s="3"/>
      <c r="V102" s="129"/>
      <c r="W102" s="133">
        <f t="shared" si="12"/>
        <v>0</v>
      </c>
      <c r="Y102" s="139"/>
    </row>
    <row r="103" spans="1:25">
      <c r="A103" s="8" t="s">
        <v>782</v>
      </c>
      <c r="B103" s="8">
        <v>77</v>
      </c>
      <c r="C103" s="117">
        <f t="shared" si="21"/>
        <v>0</v>
      </c>
      <c r="D103" s="114">
        <f t="shared" si="16"/>
        <v>8.5265128291212e-14</v>
      </c>
      <c r="E103" s="87">
        <f t="shared" si="17"/>
        <v>0</v>
      </c>
      <c r="F103" s="115">
        <f>IF(B103&lt;$C$17,0,IF(B103=$C$17,-$C$15*#REF!,-P103))</f>
        <v>0</v>
      </c>
      <c r="G103" s="114">
        <f t="shared" si="18"/>
        <v>0</v>
      </c>
      <c r="H103" s="8"/>
      <c r="I103" s="114">
        <f t="shared" si="19"/>
        <v>0</v>
      </c>
      <c r="J103" s="117">
        <f t="shared" si="20"/>
        <v>0</v>
      </c>
      <c r="K103" s="19"/>
      <c r="O103" s="126">
        <v>77</v>
      </c>
      <c r="P103" s="130">
        <f t="shared" si="13"/>
        <v>0</v>
      </c>
      <c r="Q103" s="130">
        <f t="shared" si="15"/>
        <v>0</v>
      </c>
      <c r="R103" s="134">
        <f t="shared" si="14"/>
        <v>0</v>
      </c>
      <c r="S103" s="3"/>
      <c r="T103" s="3"/>
      <c r="W103" s="133">
        <f t="shared" si="12"/>
        <v>0</v>
      </c>
      <c r="Y103" s="139"/>
    </row>
    <row r="104" spans="1:25">
      <c r="A104" s="8" t="s">
        <v>783</v>
      </c>
      <c r="B104" s="8">
        <v>78</v>
      </c>
      <c r="C104" s="117">
        <f t="shared" si="21"/>
        <v>0</v>
      </c>
      <c r="D104" s="114">
        <f t="shared" si="16"/>
        <v>8.5265128291212e-14</v>
      </c>
      <c r="E104" s="87">
        <f t="shared" si="17"/>
        <v>0</v>
      </c>
      <c r="F104" s="115">
        <f>IF(B104&lt;$C$17,0,IF(B104=$C$17,-$C$15*#REF!,-P104))</f>
        <v>0</v>
      </c>
      <c r="G104" s="114">
        <f t="shared" si="18"/>
        <v>0</v>
      </c>
      <c r="H104" s="8"/>
      <c r="I104" s="114">
        <f t="shared" si="19"/>
        <v>0</v>
      </c>
      <c r="J104" s="117">
        <f t="shared" si="20"/>
        <v>0</v>
      </c>
      <c r="K104" s="19"/>
      <c r="L104" s="129">
        <f>SUM(W102:W104)</f>
        <v>0</v>
      </c>
      <c r="O104" s="126">
        <v>78</v>
      </c>
      <c r="P104" s="130">
        <f t="shared" si="13"/>
        <v>0</v>
      </c>
      <c r="Q104" s="130">
        <f t="shared" si="15"/>
        <v>0</v>
      </c>
      <c r="R104" s="134">
        <f t="shared" si="14"/>
        <v>0</v>
      </c>
      <c r="S104" s="3"/>
      <c r="T104" s="3"/>
      <c r="W104" s="133">
        <f t="shared" si="12"/>
        <v>0</v>
      </c>
      <c r="Y104" s="139"/>
    </row>
    <row r="105" spans="1:25">
      <c r="A105" s="8" t="s">
        <v>784</v>
      </c>
      <c r="B105" s="8">
        <v>79</v>
      </c>
      <c r="C105" s="117">
        <f t="shared" si="21"/>
        <v>0</v>
      </c>
      <c r="D105" s="114">
        <f t="shared" si="16"/>
        <v>8.5265128291212e-14</v>
      </c>
      <c r="E105" s="87">
        <f t="shared" si="17"/>
        <v>0</v>
      </c>
      <c r="F105" s="115">
        <f>IF(B105&lt;$C$17,0,IF(B105=$C$17,-$C$15*#REF!,-P105))</f>
        <v>0</v>
      </c>
      <c r="G105" s="114">
        <f t="shared" si="18"/>
        <v>0</v>
      </c>
      <c r="H105" s="8"/>
      <c r="I105" s="114">
        <f t="shared" si="19"/>
        <v>0</v>
      </c>
      <c r="J105" s="117">
        <f t="shared" si="20"/>
        <v>0</v>
      </c>
      <c r="K105" s="19"/>
      <c r="O105" s="126">
        <v>79</v>
      </c>
      <c r="P105" s="130">
        <f t="shared" si="13"/>
        <v>0</v>
      </c>
      <c r="Q105" s="130">
        <f t="shared" si="15"/>
        <v>0</v>
      </c>
      <c r="R105" s="134">
        <f t="shared" si="14"/>
        <v>0</v>
      </c>
      <c r="S105" s="3"/>
      <c r="T105" s="3"/>
      <c r="W105" s="133">
        <f t="shared" si="12"/>
        <v>0</v>
      </c>
      <c r="Y105" s="139"/>
    </row>
    <row r="106" spans="1:25">
      <c r="A106" s="8" t="s">
        <v>785</v>
      </c>
      <c r="B106" s="8">
        <v>80</v>
      </c>
      <c r="C106" s="117">
        <f t="shared" si="21"/>
        <v>0</v>
      </c>
      <c r="D106" s="114">
        <f t="shared" si="16"/>
        <v>8.5265128291212e-14</v>
      </c>
      <c r="E106" s="87">
        <f t="shared" si="17"/>
        <v>0</v>
      </c>
      <c r="F106" s="115">
        <f>IF(B106&lt;$C$17,0,IF(B106=$C$17,-$C$15*#REF!,-P106))</f>
        <v>0</v>
      </c>
      <c r="G106" s="114">
        <f t="shared" si="18"/>
        <v>0</v>
      </c>
      <c r="H106" s="8"/>
      <c r="I106" s="114">
        <f t="shared" si="19"/>
        <v>0</v>
      </c>
      <c r="J106" s="117">
        <f t="shared" si="20"/>
        <v>0</v>
      </c>
      <c r="K106" s="19"/>
      <c r="O106" s="126">
        <v>80</v>
      </c>
      <c r="P106" s="130">
        <f t="shared" si="13"/>
        <v>0</v>
      </c>
      <c r="Q106" s="130">
        <f t="shared" si="15"/>
        <v>0</v>
      </c>
      <c r="R106" s="134">
        <f t="shared" si="14"/>
        <v>0</v>
      </c>
      <c r="S106" s="3"/>
      <c r="T106" s="3"/>
      <c r="V106" s="129"/>
      <c r="W106" s="133">
        <f t="shared" si="12"/>
        <v>0</v>
      </c>
      <c r="Y106" s="139"/>
    </row>
    <row r="107" spans="1:25">
      <c r="A107" s="8" t="s">
        <v>786</v>
      </c>
      <c r="B107" s="8">
        <v>81</v>
      </c>
      <c r="C107" s="117">
        <f t="shared" si="21"/>
        <v>0</v>
      </c>
      <c r="D107" s="114">
        <f t="shared" si="16"/>
        <v>8.5265128291212e-14</v>
      </c>
      <c r="E107" s="87">
        <f t="shared" si="17"/>
        <v>0</v>
      </c>
      <c r="F107" s="115">
        <f>IF(B107&lt;$C$17,0,IF(B107=$C$17,-$C$15*#REF!,-P107))</f>
        <v>0</v>
      </c>
      <c r="G107" s="114">
        <f t="shared" si="18"/>
        <v>0</v>
      </c>
      <c r="H107" s="8"/>
      <c r="I107" s="114">
        <f t="shared" si="19"/>
        <v>0</v>
      </c>
      <c r="J107" s="117">
        <f t="shared" si="20"/>
        <v>0</v>
      </c>
      <c r="K107" s="19"/>
      <c r="L107" s="129">
        <f>SUM(W105:W107)</f>
        <v>0</v>
      </c>
      <c r="O107" s="126">
        <v>81</v>
      </c>
      <c r="P107" s="130">
        <f t="shared" si="13"/>
        <v>0</v>
      </c>
      <c r="Q107" s="130">
        <f t="shared" si="15"/>
        <v>0</v>
      </c>
      <c r="R107" s="134">
        <f t="shared" si="14"/>
        <v>0</v>
      </c>
      <c r="S107" s="3"/>
      <c r="T107" s="3"/>
      <c r="W107" s="133">
        <f t="shared" si="12"/>
        <v>0</v>
      </c>
      <c r="Y107" s="139"/>
    </row>
    <row r="108" spans="1:25">
      <c r="A108" s="8" t="s">
        <v>787</v>
      </c>
      <c r="B108" s="8">
        <v>82</v>
      </c>
      <c r="C108" s="117">
        <f t="shared" si="21"/>
        <v>0</v>
      </c>
      <c r="D108" s="114">
        <f t="shared" si="16"/>
        <v>8.5265128291212e-14</v>
      </c>
      <c r="E108" s="87">
        <f t="shared" si="17"/>
        <v>0</v>
      </c>
      <c r="F108" s="115">
        <f>IF(B108&lt;$C$17,0,IF(B108=$C$17,-$C$15*#REF!,-P108))</f>
        <v>0</v>
      </c>
      <c r="G108" s="114">
        <f t="shared" si="18"/>
        <v>0</v>
      </c>
      <c r="H108" s="8"/>
      <c r="I108" s="114">
        <f t="shared" si="19"/>
        <v>0</v>
      </c>
      <c r="J108" s="117">
        <f t="shared" si="20"/>
        <v>0</v>
      </c>
      <c r="K108" s="19"/>
      <c r="O108" s="126">
        <v>82</v>
      </c>
      <c r="P108" s="130">
        <f t="shared" si="13"/>
        <v>0</v>
      </c>
      <c r="Q108" s="130">
        <f t="shared" si="15"/>
        <v>0</v>
      </c>
      <c r="R108" s="134">
        <f t="shared" si="14"/>
        <v>0</v>
      </c>
      <c r="S108" s="3"/>
      <c r="T108" s="3"/>
      <c r="W108" s="133">
        <f t="shared" si="12"/>
        <v>0</v>
      </c>
      <c r="Y108" s="139"/>
    </row>
    <row r="109" spans="1:25">
      <c r="A109" s="8" t="s">
        <v>788</v>
      </c>
      <c r="B109" s="8">
        <v>83</v>
      </c>
      <c r="C109" s="117">
        <f t="shared" si="21"/>
        <v>0</v>
      </c>
      <c r="D109" s="114">
        <f t="shared" si="16"/>
        <v>8.5265128291212e-14</v>
      </c>
      <c r="E109" s="87">
        <f t="shared" si="17"/>
        <v>0</v>
      </c>
      <c r="F109" s="115">
        <f>IF(B109&lt;$C$17,0,IF(B109=$C$17,-$C$15*#REF!,-P109))</f>
        <v>0</v>
      </c>
      <c r="G109" s="114">
        <f t="shared" si="18"/>
        <v>0</v>
      </c>
      <c r="H109" s="8"/>
      <c r="I109" s="114">
        <f t="shared" si="19"/>
        <v>0</v>
      </c>
      <c r="J109" s="117">
        <f t="shared" si="20"/>
        <v>0</v>
      </c>
      <c r="K109" s="19"/>
      <c r="O109" s="126">
        <v>83</v>
      </c>
      <c r="P109" s="130">
        <f t="shared" si="13"/>
        <v>0</v>
      </c>
      <c r="Q109" s="130">
        <f t="shared" si="15"/>
        <v>0</v>
      </c>
      <c r="R109" s="134">
        <f t="shared" si="14"/>
        <v>0</v>
      </c>
      <c r="S109" s="3"/>
      <c r="T109" s="3"/>
      <c r="W109" s="133">
        <f t="shared" si="12"/>
        <v>0</v>
      </c>
      <c r="Y109" s="139"/>
    </row>
    <row r="110" spans="1:25">
      <c r="A110" s="8" t="s">
        <v>789</v>
      </c>
      <c r="B110" s="8">
        <v>84</v>
      </c>
      <c r="C110" s="117">
        <f t="shared" si="21"/>
        <v>0</v>
      </c>
      <c r="D110" s="114">
        <f t="shared" si="16"/>
        <v>8.5265128291212e-14</v>
      </c>
      <c r="E110" s="87">
        <f t="shared" si="17"/>
        <v>0</v>
      </c>
      <c r="F110" s="115">
        <f>IF(B110&lt;$C$17,0,IF(B110=$C$17,-$C$15*#REF!,-P110))</f>
        <v>0</v>
      </c>
      <c r="G110" s="114">
        <f t="shared" si="18"/>
        <v>0</v>
      </c>
      <c r="H110" s="8"/>
      <c r="I110" s="114">
        <f t="shared" si="19"/>
        <v>0</v>
      </c>
      <c r="J110" s="117">
        <f t="shared" si="20"/>
        <v>0</v>
      </c>
      <c r="K110" s="19"/>
      <c r="L110" s="129">
        <f>SUM(W108:W110)</f>
        <v>0</v>
      </c>
      <c r="O110" s="126">
        <v>84</v>
      </c>
      <c r="P110" s="130">
        <f t="shared" si="13"/>
        <v>0</v>
      </c>
      <c r="Q110" s="130">
        <f t="shared" si="15"/>
        <v>0</v>
      </c>
      <c r="R110" s="134">
        <f t="shared" si="14"/>
        <v>0</v>
      </c>
      <c r="S110" s="3"/>
      <c r="T110" s="3"/>
      <c r="V110" s="129"/>
      <c r="W110" s="133">
        <f t="shared" si="12"/>
        <v>0</v>
      </c>
      <c r="Y110" s="139"/>
    </row>
    <row r="111" spans="1:25">
      <c r="A111" s="8" t="s">
        <v>790</v>
      </c>
      <c r="B111" s="8">
        <v>85</v>
      </c>
      <c r="C111" s="117">
        <f t="shared" si="21"/>
        <v>0</v>
      </c>
      <c r="D111" s="114">
        <f t="shared" si="16"/>
        <v>8.5265128291212e-14</v>
      </c>
      <c r="E111" s="87">
        <f t="shared" si="17"/>
        <v>0</v>
      </c>
      <c r="F111" s="115">
        <f>IF(B111&lt;$C$17,0,IF(B111=$C$17,-$C$15*#REF!,-P111))</f>
        <v>0</v>
      </c>
      <c r="G111" s="114">
        <f t="shared" si="18"/>
        <v>0</v>
      </c>
      <c r="H111" s="113">
        <f>IF(((B111-1)/12+1)&lt;=$C$20,-$C$19,0)</f>
        <v>0</v>
      </c>
      <c r="I111" s="114">
        <f t="shared" si="19"/>
        <v>0</v>
      </c>
      <c r="J111" s="117">
        <f t="shared" si="20"/>
        <v>0</v>
      </c>
      <c r="K111" s="19"/>
      <c r="O111" s="126">
        <v>85</v>
      </c>
      <c r="P111" s="130">
        <f t="shared" si="13"/>
        <v>0</v>
      </c>
      <c r="Q111" s="130">
        <f t="shared" si="15"/>
        <v>0</v>
      </c>
      <c r="R111" s="134">
        <f t="shared" si="14"/>
        <v>0</v>
      </c>
      <c r="S111" s="3"/>
      <c r="T111" s="3"/>
      <c r="W111" s="133">
        <f t="shared" si="12"/>
        <v>0</v>
      </c>
      <c r="Y111" s="139"/>
    </row>
    <row r="112" spans="1:25">
      <c r="A112" s="8" t="s">
        <v>791</v>
      </c>
      <c r="B112" s="8">
        <v>86</v>
      </c>
      <c r="C112" s="117">
        <f t="shared" si="21"/>
        <v>0</v>
      </c>
      <c r="D112" s="114">
        <f t="shared" si="16"/>
        <v>8.5265128291212e-14</v>
      </c>
      <c r="E112" s="87">
        <f t="shared" si="17"/>
        <v>0</v>
      </c>
      <c r="F112" s="115">
        <f>IF(B112&lt;$C$17,0,IF(B112=$C$17,-$C$15*#REF!,-P112))</f>
        <v>0</v>
      </c>
      <c r="G112" s="114">
        <f t="shared" si="18"/>
        <v>0</v>
      </c>
      <c r="H112" s="8"/>
      <c r="I112" s="114">
        <f t="shared" si="19"/>
        <v>0</v>
      </c>
      <c r="J112" s="117">
        <f t="shared" si="20"/>
        <v>0</v>
      </c>
      <c r="K112" s="19"/>
      <c r="O112" s="126">
        <v>86</v>
      </c>
      <c r="P112" s="130">
        <f t="shared" si="13"/>
        <v>0</v>
      </c>
      <c r="Q112" s="130">
        <f t="shared" si="15"/>
        <v>0</v>
      </c>
      <c r="R112" s="134">
        <f t="shared" si="14"/>
        <v>0</v>
      </c>
      <c r="S112" s="3"/>
      <c r="T112" s="3"/>
      <c r="W112" s="133">
        <f t="shared" si="12"/>
        <v>0</v>
      </c>
      <c r="Y112" s="139"/>
    </row>
    <row r="113" spans="1:25">
      <c r="A113" s="8" t="s">
        <v>792</v>
      </c>
      <c r="B113" s="8">
        <v>87</v>
      </c>
      <c r="C113" s="117">
        <f t="shared" si="21"/>
        <v>0</v>
      </c>
      <c r="D113" s="114">
        <f t="shared" si="16"/>
        <v>8.5265128291212e-14</v>
      </c>
      <c r="E113" s="87">
        <f t="shared" si="17"/>
        <v>0</v>
      </c>
      <c r="F113" s="115">
        <f>IF(B113&lt;$C$17,0,IF(B113=$C$17,-$C$15*#REF!,-P113))</f>
        <v>0</v>
      </c>
      <c r="G113" s="114">
        <f t="shared" si="18"/>
        <v>0</v>
      </c>
      <c r="H113" s="8"/>
      <c r="I113" s="114">
        <f t="shared" si="19"/>
        <v>0</v>
      </c>
      <c r="J113" s="117">
        <f t="shared" si="20"/>
        <v>0</v>
      </c>
      <c r="K113" s="19"/>
      <c r="L113" s="129">
        <f>SUM(W111:W113)</f>
        <v>0</v>
      </c>
      <c r="O113" s="126">
        <v>87</v>
      </c>
      <c r="P113" s="130">
        <f t="shared" si="13"/>
        <v>0</v>
      </c>
      <c r="Q113" s="130">
        <f t="shared" si="15"/>
        <v>0</v>
      </c>
      <c r="R113" s="134">
        <f t="shared" si="14"/>
        <v>0</v>
      </c>
      <c r="S113" s="3"/>
      <c r="T113" s="3"/>
      <c r="W113" s="133">
        <f t="shared" si="12"/>
        <v>0</v>
      </c>
      <c r="Y113" s="139"/>
    </row>
    <row r="114" spans="1:25">
      <c r="A114" s="8" t="s">
        <v>793</v>
      </c>
      <c r="B114" s="8">
        <v>88</v>
      </c>
      <c r="C114" s="117">
        <f t="shared" si="21"/>
        <v>0</v>
      </c>
      <c r="D114" s="114">
        <f t="shared" si="16"/>
        <v>8.5265128291212e-14</v>
      </c>
      <c r="E114" s="87">
        <f t="shared" si="17"/>
        <v>0</v>
      </c>
      <c r="F114" s="115">
        <f>IF(B114&lt;$C$17,0,IF(B114=$C$17,-$C$15*#REF!,-P114))</f>
        <v>0</v>
      </c>
      <c r="G114" s="114">
        <f t="shared" si="18"/>
        <v>0</v>
      </c>
      <c r="H114" s="8"/>
      <c r="I114" s="114">
        <f t="shared" si="19"/>
        <v>0</v>
      </c>
      <c r="J114" s="117">
        <f t="shared" si="20"/>
        <v>0</v>
      </c>
      <c r="K114" s="19"/>
      <c r="O114" s="126">
        <v>88</v>
      </c>
      <c r="P114" s="130">
        <f t="shared" si="13"/>
        <v>0</v>
      </c>
      <c r="Q114" s="130">
        <f t="shared" si="15"/>
        <v>0</v>
      </c>
      <c r="R114" s="134">
        <f t="shared" si="14"/>
        <v>0</v>
      </c>
      <c r="S114" s="3"/>
      <c r="T114" s="3"/>
      <c r="V114" s="129"/>
      <c r="W114" s="133">
        <f t="shared" si="12"/>
        <v>0</v>
      </c>
      <c r="Y114" s="139"/>
    </row>
    <row r="115" spans="1:25">
      <c r="A115" s="8" t="s">
        <v>794</v>
      </c>
      <c r="B115" s="8">
        <v>89</v>
      </c>
      <c r="C115" s="117">
        <f t="shared" si="21"/>
        <v>0</v>
      </c>
      <c r="D115" s="114">
        <f t="shared" si="16"/>
        <v>8.5265128291212e-14</v>
      </c>
      <c r="E115" s="87">
        <f t="shared" si="17"/>
        <v>0</v>
      </c>
      <c r="F115" s="115">
        <f>IF(B115&lt;$C$17,0,IF(B115=$C$17,-$C$15*#REF!,-P115))</f>
        <v>0</v>
      </c>
      <c r="G115" s="114">
        <f t="shared" si="18"/>
        <v>0</v>
      </c>
      <c r="H115" s="8"/>
      <c r="I115" s="114">
        <f t="shared" si="19"/>
        <v>0</v>
      </c>
      <c r="J115" s="117">
        <f t="shared" si="20"/>
        <v>0</v>
      </c>
      <c r="K115" s="19"/>
      <c r="O115" s="126">
        <v>89</v>
      </c>
      <c r="P115" s="130">
        <f t="shared" si="13"/>
        <v>0</v>
      </c>
      <c r="Q115" s="130">
        <f t="shared" si="15"/>
        <v>0</v>
      </c>
      <c r="R115" s="134">
        <f t="shared" si="14"/>
        <v>0</v>
      </c>
      <c r="S115" s="3"/>
      <c r="T115" s="3"/>
      <c r="W115" s="133">
        <f t="shared" si="12"/>
        <v>0</v>
      </c>
      <c r="Y115" s="139"/>
    </row>
    <row r="116" spans="1:25">
      <c r="A116" s="8" t="s">
        <v>795</v>
      </c>
      <c r="B116" s="8">
        <v>90</v>
      </c>
      <c r="C116" s="117">
        <f t="shared" si="21"/>
        <v>0</v>
      </c>
      <c r="D116" s="114">
        <f t="shared" si="16"/>
        <v>8.5265128291212e-14</v>
      </c>
      <c r="E116" s="87">
        <f t="shared" si="17"/>
        <v>0</v>
      </c>
      <c r="F116" s="115">
        <f>IF(B116&lt;$C$17,0,IF(B116=$C$17,-$C$15*#REF!,-P116))</f>
        <v>0</v>
      </c>
      <c r="G116" s="114">
        <f t="shared" si="18"/>
        <v>0</v>
      </c>
      <c r="H116" s="8"/>
      <c r="I116" s="114">
        <f t="shared" si="19"/>
        <v>0</v>
      </c>
      <c r="J116" s="117">
        <f t="shared" si="20"/>
        <v>0</v>
      </c>
      <c r="K116" s="19"/>
      <c r="L116" s="129">
        <f>SUM(W114:W116)</f>
        <v>0</v>
      </c>
      <c r="O116" s="126">
        <v>90</v>
      </c>
      <c r="P116" s="130">
        <f t="shared" si="13"/>
        <v>0</v>
      </c>
      <c r="Q116" s="130">
        <f t="shared" si="15"/>
        <v>0</v>
      </c>
      <c r="R116" s="134">
        <f t="shared" si="14"/>
        <v>0</v>
      </c>
      <c r="S116" s="3"/>
      <c r="T116" s="3"/>
      <c r="W116" s="133">
        <f t="shared" si="12"/>
        <v>0</v>
      </c>
      <c r="Y116" s="139"/>
    </row>
    <row r="117" spans="1:25">
      <c r="A117" s="8" t="s">
        <v>796</v>
      </c>
      <c r="B117" s="8">
        <v>91</v>
      </c>
      <c r="C117" s="117">
        <f t="shared" si="21"/>
        <v>0</v>
      </c>
      <c r="D117" s="114">
        <f t="shared" si="16"/>
        <v>8.5265128291212e-14</v>
      </c>
      <c r="E117" s="87">
        <f t="shared" si="17"/>
        <v>0</v>
      </c>
      <c r="F117" s="115">
        <f>IF(B117&lt;$C$17,0,IF(B117=$C$17,-$C$15*#REF!,-P117))</f>
        <v>0</v>
      </c>
      <c r="G117" s="114">
        <f t="shared" si="18"/>
        <v>0</v>
      </c>
      <c r="H117" s="8"/>
      <c r="I117" s="114">
        <f t="shared" si="19"/>
        <v>0</v>
      </c>
      <c r="J117" s="117">
        <f t="shared" si="20"/>
        <v>0</v>
      </c>
      <c r="K117" s="19"/>
      <c r="O117" s="126">
        <v>91</v>
      </c>
      <c r="P117" s="130">
        <f t="shared" si="13"/>
        <v>0</v>
      </c>
      <c r="Q117" s="130">
        <f t="shared" si="15"/>
        <v>0</v>
      </c>
      <c r="R117" s="134">
        <f t="shared" si="14"/>
        <v>0</v>
      </c>
      <c r="S117" s="3"/>
      <c r="T117" s="3"/>
      <c r="W117" s="133">
        <f t="shared" si="12"/>
        <v>0</v>
      </c>
      <c r="Y117" s="139"/>
    </row>
    <row r="118" spans="1:25">
      <c r="A118" s="8" t="s">
        <v>797</v>
      </c>
      <c r="B118" s="8">
        <v>92</v>
      </c>
      <c r="C118" s="117">
        <f t="shared" si="21"/>
        <v>0</v>
      </c>
      <c r="D118" s="114">
        <f t="shared" si="16"/>
        <v>8.5265128291212e-14</v>
      </c>
      <c r="E118" s="87">
        <f t="shared" si="17"/>
        <v>0</v>
      </c>
      <c r="F118" s="115">
        <f>IF(B118&lt;$C$17,0,IF(B118=$C$17,-$C$15*#REF!,-P118))</f>
        <v>0</v>
      </c>
      <c r="G118" s="114">
        <f t="shared" si="18"/>
        <v>0</v>
      </c>
      <c r="H118" s="8"/>
      <c r="I118" s="114">
        <f t="shared" si="19"/>
        <v>0</v>
      </c>
      <c r="J118" s="117">
        <f t="shared" si="20"/>
        <v>0</v>
      </c>
      <c r="K118" s="19"/>
      <c r="O118" s="126">
        <v>92</v>
      </c>
      <c r="P118" s="130">
        <f t="shared" si="13"/>
        <v>0</v>
      </c>
      <c r="Q118" s="130">
        <f t="shared" si="15"/>
        <v>0</v>
      </c>
      <c r="R118" s="134">
        <f t="shared" si="14"/>
        <v>0</v>
      </c>
      <c r="S118" s="3"/>
      <c r="T118" s="3"/>
      <c r="V118" s="129"/>
      <c r="W118" s="133">
        <f t="shared" si="12"/>
        <v>0</v>
      </c>
      <c r="Y118" s="139"/>
    </row>
    <row r="119" spans="1:25">
      <c r="A119" s="8" t="s">
        <v>798</v>
      </c>
      <c r="B119" s="8">
        <v>93</v>
      </c>
      <c r="C119" s="117">
        <f t="shared" si="21"/>
        <v>0</v>
      </c>
      <c r="D119" s="114">
        <f t="shared" si="16"/>
        <v>8.5265128291212e-14</v>
      </c>
      <c r="E119" s="87">
        <f t="shared" si="17"/>
        <v>0</v>
      </c>
      <c r="F119" s="115">
        <f>IF(B119&lt;$C$17,0,IF(B119=$C$17,-$C$15*#REF!,-P119))</f>
        <v>0</v>
      </c>
      <c r="G119" s="114">
        <f t="shared" si="18"/>
        <v>0</v>
      </c>
      <c r="H119" s="8"/>
      <c r="I119" s="114">
        <f t="shared" si="19"/>
        <v>0</v>
      </c>
      <c r="J119" s="117">
        <f t="shared" si="20"/>
        <v>0</v>
      </c>
      <c r="K119" s="19"/>
      <c r="L119" s="129">
        <f>SUM(W117:W119)</f>
        <v>0</v>
      </c>
      <c r="O119" s="126">
        <v>93</v>
      </c>
      <c r="P119" s="130">
        <f t="shared" si="13"/>
        <v>0</v>
      </c>
      <c r="Q119" s="130">
        <f t="shared" si="15"/>
        <v>0</v>
      </c>
      <c r="R119" s="134">
        <f t="shared" si="14"/>
        <v>0</v>
      </c>
      <c r="S119" s="3"/>
      <c r="T119" s="3"/>
      <c r="W119" s="133">
        <f t="shared" si="12"/>
        <v>0</v>
      </c>
      <c r="Y119" s="139"/>
    </row>
    <row r="120" spans="1:25">
      <c r="A120" s="8" t="s">
        <v>799</v>
      </c>
      <c r="B120" s="8">
        <v>94</v>
      </c>
      <c r="C120" s="117">
        <f t="shared" si="21"/>
        <v>0</v>
      </c>
      <c r="D120" s="114">
        <f t="shared" si="16"/>
        <v>8.5265128291212e-14</v>
      </c>
      <c r="E120" s="87">
        <f t="shared" si="17"/>
        <v>0</v>
      </c>
      <c r="F120" s="115">
        <f>IF(B120&lt;$C$17,0,IF(B120=$C$17,-$C$15*#REF!,-P120))</f>
        <v>0</v>
      </c>
      <c r="G120" s="114">
        <f t="shared" si="18"/>
        <v>0</v>
      </c>
      <c r="H120" s="8"/>
      <c r="I120" s="114">
        <f t="shared" si="19"/>
        <v>0</v>
      </c>
      <c r="J120" s="117">
        <f t="shared" si="20"/>
        <v>0</v>
      </c>
      <c r="K120" s="19"/>
      <c r="O120" s="126">
        <v>94</v>
      </c>
      <c r="P120" s="130">
        <f t="shared" si="13"/>
        <v>0</v>
      </c>
      <c r="Q120" s="130">
        <f t="shared" si="15"/>
        <v>0</v>
      </c>
      <c r="R120" s="134">
        <f t="shared" si="14"/>
        <v>0</v>
      </c>
      <c r="S120" s="3"/>
      <c r="T120" s="3"/>
      <c r="W120" s="133">
        <f t="shared" si="12"/>
        <v>0</v>
      </c>
      <c r="Y120" s="139"/>
    </row>
    <row r="121" spans="1:25">
      <c r="A121" s="8" t="s">
        <v>800</v>
      </c>
      <c r="B121" s="8">
        <v>95</v>
      </c>
      <c r="C121" s="117">
        <f t="shared" si="21"/>
        <v>0</v>
      </c>
      <c r="D121" s="114">
        <f t="shared" si="16"/>
        <v>8.5265128291212e-14</v>
      </c>
      <c r="E121" s="87">
        <f t="shared" si="17"/>
        <v>0</v>
      </c>
      <c r="F121" s="115">
        <f>IF(B121&lt;$C$17,0,IF(B121=$C$17,-$C$15*#REF!,-P121))</f>
        <v>0</v>
      </c>
      <c r="G121" s="114">
        <f t="shared" si="18"/>
        <v>0</v>
      </c>
      <c r="H121" s="8"/>
      <c r="I121" s="114">
        <f t="shared" si="19"/>
        <v>0</v>
      </c>
      <c r="J121" s="117">
        <f t="shared" si="20"/>
        <v>0</v>
      </c>
      <c r="K121" s="19"/>
      <c r="O121" s="126">
        <v>95</v>
      </c>
      <c r="P121" s="130">
        <f t="shared" si="13"/>
        <v>0</v>
      </c>
      <c r="Q121" s="130">
        <f t="shared" si="15"/>
        <v>0</v>
      </c>
      <c r="R121" s="134">
        <f t="shared" si="14"/>
        <v>0</v>
      </c>
      <c r="S121" s="3"/>
      <c r="T121" s="3"/>
      <c r="W121" s="133">
        <f t="shared" si="12"/>
        <v>0</v>
      </c>
      <c r="Y121" s="139"/>
    </row>
    <row r="122" spans="1:25">
      <c r="A122" s="8" t="s">
        <v>801</v>
      </c>
      <c r="B122" s="8">
        <v>96</v>
      </c>
      <c r="C122" s="117">
        <f t="shared" si="21"/>
        <v>0</v>
      </c>
      <c r="D122" s="114">
        <f t="shared" si="16"/>
        <v>8.5265128291212e-14</v>
      </c>
      <c r="E122" s="87">
        <f t="shared" si="17"/>
        <v>0</v>
      </c>
      <c r="F122" s="115">
        <f>IF(B122&lt;$C$17,0,IF(B122=$C$17,-$C$15*#REF!,-P122))</f>
        <v>0</v>
      </c>
      <c r="G122" s="114">
        <f t="shared" si="18"/>
        <v>0</v>
      </c>
      <c r="H122" s="8"/>
      <c r="I122" s="114">
        <f t="shared" si="19"/>
        <v>0</v>
      </c>
      <c r="J122" s="117">
        <f t="shared" si="20"/>
        <v>0</v>
      </c>
      <c r="K122" s="19"/>
      <c r="L122" s="129">
        <f>SUM(W120:W122)</f>
        <v>0</v>
      </c>
      <c r="O122" s="126">
        <v>96</v>
      </c>
      <c r="P122" s="130">
        <f t="shared" si="13"/>
        <v>0</v>
      </c>
      <c r="Q122" s="130">
        <f t="shared" si="15"/>
        <v>0</v>
      </c>
      <c r="R122" s="134">
        <f t="shared" si="14"/>
        <v>0</v>
      </c>
      <c r="S122" s="3"/>
      <c r="T122" s="3"/>
      <c r="V122" s="129"/>
      <c r="W122" s="133">
        <f t="shared" si="12"/>
        <v>0</v>
      </c>
      <c r="Y122" s="139"/>
    </row>
    <row r="123" spans="1:25">
      <c r="A123" s="8" t="s">
        <v>802</v>
      </c>
      <c r="B123" s="8">
        <v>97</v>
      </c>
      <c r="C123" s="117">
        <f t="shared" si="21"/>
        <v>0</v>
      </c>
      <c r="D123" s="114">
        <f t="shared" si="16"/>
        <v>8.5265128291212e-14</v>
      </c>
      <c r="E123" s="87">
        <f t="shared" si="17"/>
        <v>0</v>
      </c>
      <c r="F123" s="115">
        <f>IF(B123&lt;$C$17,0,IF(B123=$C$17,-$C$15*#REF!,-P123))</f>
        <v>0</v>
      </c>
      <c r="G123" s="114">
        <f t="shared" si="18"/>
        <v>0</v>
      </c>
      <c r="H123" s="113">
        <f>IF(((B123-1)/12+1)&lt;=$C$20,-$C$19,0)</f>
        <v>0</v>
      </c>
      <c r="I123" s="114">
        <f t="shared" si="19"/>
        <v>0</v>
      </c>
      <c r="J123" s="117">
        <f t="shared" si="20"/>
        <v>0</v>
      </c>
      <c r="K123" s="19"/>
      <c r="O123" s="126">
        <v>97</v>
      </c>
      <c r="P123" s="130">
        <f t="shared" si="13"/>
        <v>0</v>
      </c>
      <c r="Q123" s="130">
        <f t="shared" si="15"/>
        <v>0</v>
      </c>
      <c r="R123" s="134">
        <f t="shared" si="14"/>
        <v>0</v>
      </c>
      <c r="W123" s="133">
        <f t="shared" ref="W123:W146" si="22">SUM(F123:K123)</f>
        <v>0</v>
      </c>
      <c r="Y123" s="139"/>
    </row>
    <row r="124" spans="1:25">
      <c r="A124" s="8" t="s">
        <v>803</v>
      </c>
      <c r="B124" s="8">
        <v>98</v>
      </c>
      <c r="C124" s="117">
        <f t="shared" si="21"/>
        <v>0</v>
      </c>
      <c r="D124" s="114">
        <f t="shared" si="16"/>
        <v>8.5265128291212e-14</v>
      </c>
      <c r="E124" s="87">
        <f t="shared" si="17"/>
        <v>0</v>
      </c>
      <c r="F124" s="115">
        <f>IF(B124&lt;$C$17,0,IF(B124=$C$17,-$C$15*#REF!,-P124))</f>
        <v>0</v>
      </c>
      <c r="G124" s="114">
        <f t="shared" si="18"/>
        <v>0</v>
      </c>
      <c r="H124" s="8"/>
      <c r="I124" s="114">
        <f t="shared" si="19"/>
        <v>0</v>
      </c>
      <c r="J124" s="117">
        <f t="shared" si="20"/>
        <v>0</v>
      </c>
      <c r="K124" s="19"/>
      <c r="O124" s="126">
        <v>98</v>
      </c>
      <c r="P124" s="130">
        <f t="shared" si="13"/>
        <v>0</v>
      </c>
      <c r="Q124" s="130">
        <f t="shared" si="15"/>
        <v>0</v>
      </c>
      <c r="R124" s="134">
        <f t="shared" si="14"/>
        <v>0</v>
      </c>
      <c r="W124" s="133">
        <f t="shared" si="22"/>
        <v>0</v>
      </c>
      <c r="Y124" s="139"/>
    </row>
    <row r="125" spans="1:25">
      <c r="A125" s="8" t="s">
        <v>804</v>
      </c>
      <c r="B125" s="8">
        <v>99</v>
      </c>
      <c r="C125" s="117">
        <f t="shared" si="21"/>
        <v>0</v>
      </c>
      <c r="D125" s="114">
        <f t="shared" si="16"/>
        <v>8.5265128291212e-14</v>
      </c>
      <c r="E125" s="87">
        <f t="shared" si="17"/>
        <v>0</v>
      </c>
      <c r="F125" s="115">
        <f>IF(B125&lt;$C$17,0,IF(B125=$C$17,-$C$15*#REF!,-P125))</f>
        <v>0</v>
      </c>
      <c r="G125" s="114">
        <f t="shared" si="18"/>
        <v>0</v>
      </c>
      <c r="H125" s="8"/>
      <c r="I125" s="114">
        <f t="shared" si="19"/>
        <v>0</v>
      </c>
      <c r="J125" s="117">
        <f t="shared" si="20"/>
        <v>0</v>
      </c>
      <c r="K125" s="19"/>
      <c r="L125" s="129">
        <f>SUM(W123:W125)</f>
        <v>0</v>
      </c>
      <c r="O125" s="126">
        <v>99</v>
      </c>
      <c r="P125" s="130">
        <f t="shared" si="13"/>
        <v>0</v>
      </c>
      <c r="Q125" s="130">
        <f t="shared" si="15"/>
        <v>0</v>
      </c>
      <c r="R125" s="134">
        <f t="shared" si="14"/>
        <v>0</v>
      </c>
      <c r="W125" s="133">
        <f t="shared" si="22"/>
        <v>0</v>
      </c>
      <c r="Y125" s="139"/>
    </row>
    <row r="126" spans="1:25">
      <c r="A126" s="8" t="s">
        <v>805</v>
      </c>
      <c r="B126" s="8">
        <v>100</v>
      </c>
      <c r="C126" s="117">
        <f t="shared" si="21"/>
        <v>0</v>
      </c>
      <c r="D126" s="114">
        <f t="shared" si="16"/>
        <v>8.5265128291212e-14</v>
      </c>
      <c r="E126" s="87">
        <f t="shared" si="17"/>
        <v>0</v>
      </c>
      <c r="F126" s="115">
        <f>IF(B126&lt;$C$17,0,IF(B126=$C$17,-$C$15*#REF!,-P126))</f>
        <v>0</v>
      </c>
      <c r="G126" s="114">
        <f t="shared" si="18"/>
        <v>0</v>
      </c>
      <c r="H126" s="8"/>
      <c r="I126" s="114">
        <f t="shared" si="19"/>
        <v>0</v>
      </c>
      <c r="J126" s="117">
        <f t="shared" si="20"/>
        <v>0</v>
      </c>
      <c r="K126" s="19"/>
      <c r="O126" s="126">
        <v>100</v>
      </c>
      <c r="P126" s="130">
        <f t="shared" si="13"/>
        <v>0</v>
      </c>
      <c r="Q126" s="130">
        <f t="shared" si="15"/>
        <v>0</v>
      </c>
      <c r="R126" s="134">
        <f t="shared" si="14"/>
        <v>0</v>
      </c>
      <c r="V126" s="129"/>
      <c r="W126" s="133">
        <f t="shared" si="22"/>
        <v>0</v>
      </c>
      <c r="Y126" s="139"/>
    </row>
    <row r="127" spans="1:25">
      <c r="A127" s="8" t="s">
        <v>806</v>
      </c>
      <c r="B127" s="8">
        <v>101</v>
      </c>
      <c r="C127" s="117">
        <f t="shared" si="21"/>
        <v>0</v>
      </c>
      <c r="D127" s="114">
        <f t="shared" si="16"/>
        <v>8.5265128291212e-14</v>
      </c>
      <c r="E127" s="87">
        <f t="shared" si="17"/>
        <v>0</v>
      </c>
      <c r="F127" s="115">
        <f>IF(B127&lt;$C$17,0,IF(B127=$C$17,-$C$15*#REF!,-P127))</f>
        <v>0</v>
      </c>
      <c r="G127" s="114">
        <f t="shared" si="18"/>
        <v>0</v>
      </c>
      <c r="H127" s="8"/>
      <c r="I127" s="114">
        <f t="shared" si="19"/>
        <v>0</v>
      </c>
      <c r="J127" s="117">
        <f t="shared" si="20"/>
        <v>0</v>
      </c>
      <c r="K127" s="19"/>
      <c r="O127" s="126">
        <v>101</v>
      </c>
      <c r="P127" s="130">
        <f t="shared" si="13"/>
        <v>0</v>
      </c>
      <c r="Q127" s="130">
        <f t="shared" si="15"/>
        <v>0</v>
      </c>
      <c r="R127" s="134">
        <f t="shared" si="14"/>
        <v>0</v>
      </c>
      <c r="W127" s="133">
        <f t="shared" si="22"/>
        <v>0</v>
      </c>
      <c r="Y127" s="139"/>
    </row>
    <row r="128" spans="1:25">
      <c r="A128" s="8" t="s">
        <v>807</v>
      </c>
      <c r="B128" s="8">
        <v>102</v>
      </c>
      <c r="C128" s="117">
        <f t="shared" si="21"/>
        <v>0</v>
      </c>
      <c r="D128" s="114">
        <f t="shared" si="16"/>
        <v>8.5265128291212e-14</v>
      </c>
      <c r="E128" s="87">
        <f t="shared" si="17"/>
        <v>0</v>
      </c>
      <c r="F128" s="115">
        <f>IF(B128&lt;$C$17,0,IF(B128=$C$17,-$C$15*#REF!,-P128))</f>
        <v>0</v>
      </c>
      <c r="G128" s="114">
        <f t="shared" si="18"/>
        <v>0</v>
      </c>
      <c r="H128" s="8"/>
      <c r="I128" s="114">
        <f t="shared" si="19"/>
        <v>0</v>
      </c>
      <c r="J128" s="117">
        <f t="shared" si="20"/>
        <v>0</v>
      </c>
      <c r="K128" s="19"/>
      <c r="L128" s="129">
        <f>SUM(W126:W128)</f>
        <v>0</v>
      </c>
      <c r="O128" s="126">
        <v>102</v>
      </c>
      <c r="P128" s="130">
        <f t="shared" si="13"/>
        <v>0</v>
      </c>
      <c r="Q128" s="130">
        <f t="shared" si="15"/>
        <v>0</v>
      </c>
      <c r="R128" s="134">
        <f t="shared" si="14"/>
        <v>0</v>
      </c>
      <c r="W128" s="133">
        <f t="shared" si="22"/>
        <v>0</v>
      </c>
      <c r="Y128" s="139"/>
    </row>
    <row r="129" spans="1:25">
      <c r="A129" s="8" t="s">
        <v>808</v>
      </c>
      <c r="B129" s="8">
        <v>103</v>
      </c>
      <c r="C129" s="117">
        <f t="shared" si="21"/>
        <v>0</v>
      </c>
      <c r="D129" s="114">
        <f t="shared" si="16"/>
        <v>8.5265128291212e-14</v>
      </c>
      <c r="E129" s="87">
        <f t="shared" si="17"/>
        <v>0</v>
      </c>
      <c r="F129" s="115">
        <f>IF(B129&lt;$C$17,0,IF(B129=$C$17,-$C$15*#REF!,-P129))</f>
        <v>0</v>
      </c>
      <c r="G129" s="114">
        <f t="shared" si="18"/>
        <v>0</v>
      </c>
      <c r="H129" s="8"/>
      <c r="I129" s="114">
        <f t="shared" si="19"/>
        <v>0</v>
      </c>
      <c r="J129" s="117">
        <f t="shared" si="20"/>
        <v>0</v>
      </c>
      <c r="K129" s="19"/>
      <c r="O129" s="126">
        <v>103</v>
      </c>
      <c r="P129" s="130">
        <f t="shared" si="13"/>
        <v>0</v>
      </c>
      <c r="Q129" s="130">
        <f t="shared" si="15"/>
        <v>0</v>
      </c>
      <c r="R129" s="134">
        <f t="shared" si="14"/>
        <v>0</v>
      </c>
      <c r="W129" s="133">
        <f t="shared" si="22"/>
        <v>0</v>
      </c>
      <c r="Y129" s="139"/>
    </row>
    <row r="130" spans="1:25">
      <c r="A130" s="8" t="s">
        <v>809</v>
      </c>
      <c r="B130" s="8">
        <v>104</v>
      </c>
      <c r="C130" s="117">
        <f t="shared" si="21"/>
        <v>0</v>
      </c>
      <c r="D130" s="114">
        <f t="shared" si="16"/>
        <v>8.5265128291212e-14</v>
      </c>
      <c r="E130" s="87">
        <f t="shared" si="17"/>
        <v>0</v>
      </c>
      <c r="F130" s="115">
        <f>IF(B130&lt;$C$17,0,IF(B130=$C$17,-$C$15*#REF!,-P130))</f>
        <v>0</v>
      </c>
      <c r="G130" s="114">
        <f t="shared" si="18"/>
        <v>0</v>
      </c>
      <c r="H130" s="8"/>
      <c r="I130" s="114">
        <f t="shared" si="19"/>
        <v>0</v>
      </c>
      <c r="J130" s="117">
        <f t="shared" si="20"/>
        <v>0</v>
      </c>
      <c r="K130" s="19"/>
      <c r="O130" s="126">
        <v>104</v>
      </c>
      <c r="P130" s="130">
        <f t="shared" si="13"/>
        <v>0</v>
      </c>
      <c r="Q130" s="130">
        <f t="shared" si="15"/>
        <v>0</v>
      </c>
      <c r="R130" s="134">
        <f t="shared" si="14"/>
        <v>0</v>
      </c>
      <c r="V130" s="129"/>
      <c r="W130" s="133">
        <f t="shared" si="22"/>
        <v>0</v>
      </c>
      <c r="Y130" s="139"/>
    </row>
    <row r="131" spans="1:25">
      <c r="A131" s="8" t="s">
        <v>810</v>
      </c>
      <c r="B131" s="8">
        <v>105</v>
      </c>
      <c r="C131" s="117">
        <f t="shared" si="21"/>
        <v>0</v>
      </c>
      <c r="D131" s="114">
        <f t="shared" si="16"/>
        <v>8.5265128291212e-14</v>
      </c>
      <c r="E131" s="87">
        <f t="shared" si="17"/>
        <v>0</v>
      </c>
      <c r="F131" s="115">
        <f>IF(B131&lt;$C$17,0,IF(B131=$C$17,-$C$15*#REF!,-P131))</f>
        <v>0</v>
      </c>
      <c r="G131" s="114">
        <f t="shared" si="18"/>
        <v>0</v>
      </c>
      <c r="H131" s="8"/>
      <c r="I131" s="114">
        <f t="shared" si="19"/>
        <v>0</v>
      </c>
      <c r="J131" s="117">
        <f t="shared" si="20"/>
        <v>0</v>
      </c>
      <c r="K131" s="19"/>
      <c r="L131" s="129">
        <f>SUM(W129:W131)</f>
        <v>0</v>
      </c>
      <c r="O131" s="126">
        <v>105</v>
      </c>
      <c r="P131" s="130">
        <f t="shared" si="13"/>
        <v>0</v>
      </c>
      <c r="Q131" s="130">
        <f t="shared" si="15"/>
        <v>0</v>
      </c>
      <c r="R131" s="134">
        <f t="shared" si="14"/>
        <v>0</v>
      </c>
      <c r="W131" s="133">
        <f t="shared" si="22"/>
        <v>0</v>
      </c>
      <c r="Y131" s="139"/>
    </row>
    <row r="132" spans="1:25">
      <c r="A132" s="8" t="s">
        <v>811</v>
      </c>
      <c r="B132" s="8">
        <v>106</v>
      </c>
      <c r="C132" s="117">
        <f t="shared" si="21"/>
        <v>0</v>
      </c>
      <c r="D132" s="114">
        <f t="shared" si="16"/>
        <v>8.5265128291212e-14</v>
      </c>
      <c r="E132" s="87">
        <f t="shared" si="17"/>
        <v>0</v>
      </c>
      <c r="F132" s="115">
        <f>IF(B132&lt;$C$17,0,IF(B132=$C$17,-$C$15*#REF!,-P132))</f>
        <v>0</v>
      </c>
      <c r="G132" s="114">
        <f t="shared" si="18"/>
        <v>0</v>
      </c>
      <c r="H132" s="8"/>
      <c r="I132" s="114">
        <f t="shared" si="19"/>
        <v>0</v>
      </c>
      <c r="J132" s="117">
        <f t="shared" si="20"/>
        <v>0</v>
      </c>
      <c r="K132" s="19"/>
      <c r="O132" s="126">
        <v>106</v>
      </c>
      <c r="P132" s="130">
        <f t="shared" si="13"/>
        <v>0</v>
      </c>
      <c r="Q132" s="130">
        <f t="shared" si="15"/>
        <v>0</v>
      </c>
      <c r="R132" s="134">
        <f t="shared" si="14"/>
        <v>0</v>
      </c>
      <c r="W132" s="133">
        <f t="shared" si="22"/>
        <v>0</v>
      </c>
      <c r="Y132" s="139"/>
    </row>
    <row r="133" spans="1:25">
      <c r="A133" s="8" t="s">
        <v>812</v>
      </c>
      <c r="B133" s="8">
        <v>107</v>
      </c>
      <c r="C133" s="117">
        <f t="shared" si="21"/>
        <v>0</v>
      </c>
      <c r="D133" s="114">
        <f t="shared" si="16"/>
        <v>8.5265128291212e-14</v>
      </c>
      <c r="E133" s="87">
        <f t="shared" si="17"/>
        <v>0</v>
      </c>
      <c r="F133" s="115">
        <f>IF(B133&lt;$C$17,0,IF(B133=$C$17,-$C$15*#REF!,-P133))</f>
        <v>0</v>
      </c>
      <c r="G133" s="114">
        <f t="shared" si="18"/>
        <v>0</v>
      </c>
      <c r="H133" s="8"/>
      <c r="I133" s="114">
        <f t="shared" si="19"/>
        <v>0</v>
      </c>
      <c r="J133" s="117">
        <f t="shared" si="20"/>
        <v>0</v>
      </c>
      <c r="K133" s="19"/>
      <c r="O133" s="126">
        <v>107</v>
      </c>
      <c r="P133" s="130">
        <f t="shared" si="13"/>
        <v>0</v>
      </c>
      <c r="Q133" s="130">
        <f t="shared" si="15"/>
        <v>0</v>
      </c>
      <c r="R133" s="134">
        <f t="shared" si="14"/>
        <v>0</v>
      </c>
      <c r="W133" s="133">
        <f t="shared" si="22"/>
        <v>0</v>
      </c>
      <c r="Y133" s="139"/>
    </row>
    <row r="134" spans="1:25">
      <c r="A134" s="8" t="s">
        <v>813</v>
      </c>
      <c r="B134" s="8">
        <v>108</v>
      </c>
      <c r="C134" s="117">
        <f t="shared" si="21"/>
        <v>0</v>
      </c>
      <c r="D134" s="114">
        <f t="shared" si="16"/>
        <v>8.5265128291212e-14</v>
      </c>
      <c r="E134" s="87">
        <f t="shared" si="17"/>
        <v>0</v>
      </c>
      <c r="F134" s="115">
        <f>IF(B134&lt;$C$17,0,IF(B134=$C$17,-$C$15*#REF!,-P134))</f>
        <v>0</v>
      </c>
      <c r="G134" s="114">
        <f t="shared" si="18"/>
        <v>0</v>
      </c>
      <c r="H134" s="8"/>
      <c r="I134" s="114">
        <f t="shared" si="19"/>
        <v>0</v>
      </c>
      <c r="J134" s="117">
        <f t="shared" si="20"/>
        <v>0</v>
      </c>
      <c r="K134" s="19"/>
      <c r="L134" s="129">
        <f>SUM(W132:W134)</f>
        <v>0</v>
      </c>
      <c r="O134" s="126">
        <v>108</v>
      </c>
      <c r="P134" s="130">
        <f t="shared" si="13"/>
        <v>0</v>
      </c>
      <c r="Q134" s="130">
        <f t="shared" si="15"/>
        <v>0</v>
      </c>
      <c r="R134" s="134">
        <f t="shared" si="14"/>
        <v>0</v>
      </c>
      <c r="V134" s="129"/>
      <c r="W134" s="133">
        <f t="shared" si="22"/>
        <v>0</v>
      </c>
      <c r="Y134" s="139"/>
    </row>
    <row r="135" spans="1:25">
      <c r="A135" s="8" t="s">
        <v>814</v>
      </c>
      <c r="B135" s="8">
        <v>109</v>
      </c>
      <c r="C135" s="117">
        <f t="shared" si="21"/>
        <v>0</v>
      </c>
      <c r="D135" s="114">
        <f t="shared" si="16"/>
        <v>8.5265128291212e-14</v>
      </c>
      <c r="E135" s="87">
        <f t="shared" si="17"/>
        <v>0</v>
      </c>
      <c r="F135" s="115">
        <f>IF(B135&lt;$C$17,0,IF(B135=$C$17,-$C$15*#REF!,-P135))</f>
        <v>0</v>
      </c>
      <c r="G135" s="114">
        <f t="shared" si="18"/>
        <v>0</v>
      </c>
      <c r="H135" s="113">
        <f>IF(((B135-1)/12+1)&lt;=$C$20,-$C$19,0)</f>
        <v>0</v>
      </c>
      <c r="I135" s="114">
        <f t="shared" si="19"/>
        <v>0</v>
      </c>
      <c r="J135" s="117">
        <f t="shared" si="20"/>
        <v>0</v>
      </c>
      <c r="K135" s="19"/>
      <c r="O135" s="126">
        <v>109</v>
      </c>
      <c r="P135" s="130">
        <f t="shared" si="13"/>
        <v>0</v>
      </c>
      <c r="Q135" s="130">
        <f t="shared" si="15"/>
        <v>0</v>
      </c>
      <c r="R135" s="134">
        <f t="shared" si="14"/>
        <v>0</v>
      </c>
      <c r="W135" s="133">
        <f t="shared" si="22"/>
        <v>0</v>
      </c>
      <c r="Y135" s="139"/>
    </row>
    <row r="136" spans="1:25">
      <c r="A136" s="8" t="s">
        <v>815</v>
      </c>
      <c r="B136" s="8">
        <v>110</v>
      </c>
      <c r="C136" s="117">
        <f t="shared" si="21"/>
        <v>0</v>
      </c>
      <c r="D136" s="114">
        <f t="shared" si="16"/>
        <v>8.5265128291212e-14</v>
      </c>
      <c r="E136" s="87">
        <f t="shared" si="17"/>
        <v>0</v>
      </c>
      <c r="F136" s="115">
        <f>IF(B136&lt;$C$17,0,IF(B136=$C$17,-$C$15*#REF!,-P136))</f>
        <v>0</v>
      </c>
      <c r="G136" s="114">
        <f t="shared" si="18"/>
        <v>0</v>
      </c>
      <c r="H136" s="8"/>
      <c r="I136" s="114">
        <f t="shared" si="19"/>
        <v>0</v>
      </c>
      <c r="J136" s="117">
        <f t="shared" si="20"/>
        <v>0</v>
      </c>
      <c r="K136" s="19"/>
      <c r="O136" s="126">
        <v>110</v>
      </c>
      <c r="P136" s="130">
        <f t="shared" si="13"/>
        <v>0</v>
      </c>
      <c r="Q136" s="130">
        <f t="shared" si="15"/>
        <v>0</v>
      </c>
      <c r="R136" s="134">
        <f t="shared" si="14"/>
        <v>0</v>
      </c>
      <c r="W136" s="133">
        <f t="shared" si="22"/>
        <v>0</v>
      </c>
      <c r="Y136" s="139"/>
    </row>
    <row r="137" spans="1:25">
      <c r="A137" s="8" t="s">
        <v>816</v>
      </c>
      <c r="B137" s="8">
        <v>111</v>
      </c>
      <c r="C137" s="117">
        <f t="shared" si="21"/>
        <v>0</v>
      </c>
      <c r="D137" s="114">
        <f t="shared" si="16"/>
        <v>8.5265128291212e-14</v>
      </c>
      <c r="E137" s="87">
        <f t="shared" si="17"/>
        <v>0</v>
      </c>
      <c r="F137" s="115">
        <f>IF(B137&lt;$C$17,0,IF(B137=$C$17,-$C$15*#REF!,-P137))</f>
        <v>0</v>
      </c>
      <c r="G137" s="114">
        <f t="shared" si="18"/>
        <v>0</v>
      </c>
      <c r="H137" s="8"/>
      <c r="I137" s="114">
        <f t="shared" si="19"/>
        <v>0</v>
      </c>
      <c r="J137" s="117">
        <f t="shared" si="20"/>
        <v>0</v>
      </c>
      <c r="K137" s="19"/>
      <c r="L137" s="129">
        <f>SUM(W135:W137)</f>
        <v>0</v>
      </c>
      <c r="O137" s="126">
        <v>111</v>
      </c>
      <c r="P137" s="130">
        <f t="shared" si="13"/>
        <v>0</v>
      </c>
      <c r="Q137" s="130">
        <f t="shared" si="15"/>
        <v>0</v>
      </c>
      <c r="R137" s="134">
        <f t="shared" si="14"/>
        <v>0</v>
      </c>
      <c r="W137" s="133">
        <f t="shared" si="22"/>
        <v>0</v>
      </c>
      <c r="Y137" s="139"/>
    </row>
    <row r="138" spans="1:25">
      <c r="A138" s="8" t="s">
        <v>817</v>
      </c>
      <c r="B138" s="8">
        <v>112</v>
      </c>
      <c r="C138" s="117">
        <f t="shared" si="21"/>
        <v>0</v>
      </c>
      <c r="D138" s="114">
        <f t="shared" si="16"/>
        <v>8.5265128291212e-14</v>
      </c>
      <c r="E138" s="87">
        <f t="shared" si="17"/>
        <v>0</v>
      </c>
      <c r="F138" s="115">
        <f>IF(B138&lt;$C$17,0,IF(B138=$C$17,-$C$15*#REF!,-P138))</f>
        <v>0</v>
      </c>
      <c r="G138" s="114">
        <f t="shared" si="18"/>
        <v>0</v>
      </c>
      <c r="H138" s="8"/>
      <c r="I138" s="114">
        <f t="shared" si="19"/>
        <v>0</v>
      </c>
      <c r="J138" s="117">
        <f t="shared" si="20"/>
        <v>0</v>
      </c>
      <c r="K138" s="19"/>
      <c r="O138" s="126">
        <v>112</v>
      </c>
      <c r="P138" s="130">
        <f t="shared" si="13"/>
        <v>0</v>
      </c>
      <c r="Q138" s="130">
        <f t="shared" si="15"/>
        <v>0</v>
      </c>
      <c r="R138" s="134">
        <f t="shared" si="14"/>
        <v>0</v>
      </c>
      <c r="V138" s="129"/>
      <c r="W138" s="133">
        <f t="shared" si="22"/>
        <v>0</v>
      </c>
      <c r="Y138" s="139"/>
    </row>
    <row r="139" spans="1:25">
      <c r="A139" s="8" t="s">
        <v>818</v>
      </c>
      <c r="B139" s="8">
        <v>113</v>
      </c>
      <c r="C139" s="117">
        <f t="shared" si="21"/>
        <v>0</v>
      </c>
      <c r="D139" s="114">
        <f t="shared" si="16"/>
        <v>8.5265128291212e-14</v>
      </c>
      <c r="E139" s="87">
        <f t="shared" si="17"/>
        <v>0</v>
      </c>
      <c r="F139" s="115">
        <f>IF(B139&lt;$C$17,0,IF(B139=$C$17,-$C$15*#REF!,-P139))</f>
        <v>0</v>
      </c>
      <c r="G139" s="114">
        <f t="shared" si="18"/>
        <v>0</v>
      </c>
      <c r="H139" s="8"/>
      <c r="I139" s="114">
        <f t="shared" si="19"/>
        <v>0</v>
      </c>
      <c r="J139" s="117">
        <f t="shared" si="20"/>
        <v>0</v>
      </c>
      <c r="K139" s="19"/>
      <c r="O139" s="126">
        <v>113</v>
      </c>
      <c r="P139" s="130">
        <f t="shared" si="13"/>
        <v>0</v>
      </c>
      <c r="Q139" s="130">
        <f t="shared" si="15"/>
        <v>0</v>
      </c>
      <c r="R139" s="134">
        <f t="shared" si="14"/>
        <v>0</v>
      </c>
      <c r="W139" s="133">
        <f t="shared" si="22"/>
        <v>0</v>
      </c>
      <c r="Y139" s="139"/>
    </row>
    <row r="140" spans="1:23">
      <c r="A140" s="8" t="s">
        <v>819</v>
      </c>
      <c r="B140" s="8">
        <v>114</v>
      </c>
      <c r="C140" s="117">
        <f t="shared" si="21"/>
        <v>0</v>
      </c>
      <c r="D140" s="114">
        <f t="shared" si="16"/>
        <v>8.5265128291212e-14</v>
      </c>
      <c r="E140" s="87">
        <f t="shared" si="17"/>
        <v>0</v>
      </c>
      <c r="F140" s="115">
        <f>IF(B140&lt;$C$17,0,IF(B140=$C$17,-$C$15*#REF!,-P140))</f>
        <v>0</v>
      </c>
      <c r="G140" s="114">
        <f t="shared" si="18"/>
        <v>0</v>
      </c>
      <c r="H140" s="8"/>
      <c r="I140" s="114">
        <f t="shared" si="19"/>
        <v>0</v>
      </c>
      <c r="J140" s="117">
        <f t="shared" si="20"/>
        <v>0</v>
      </c>
      <c r="K140" s="19"/>
      <c r="L140" s="129">
        <f>SUM(W138:W140)</f>
        <v>0</v>
      </c>
      <c r="O140" s="126">
        <v>114</v>
      </c>
      <c r="P140" s="130">
        <f t="shared" si="13"/>
        <v>0</v>
      </c>
      <c r="Q140" s="130">
        <f t="shared" si="15"/>
        <v>0</v>
      </c>
      <c r="R140" s="134">
        <f t="shared" si="14"/>
        <v>0</v>
      </c>
      <c r="W140" s="133">
        <f t="shared" si="22"/>
        <v>0</v>
      </c>
    </row>
    <row r="141" spans="1:23">
      <c r="A141" s="8" t="s">
        <v>820</v>
      </c>
      <c r="B141" s="8">
        <v>115</v>
      </c>
      <c r="C141" s="117">
        <f t="shared" si="21"/>
        <v>0</v>
      </c>
      <c r="D141" s="114">
        <f t="shared" si="16"/>
        <v>8.5265128291212e-14</v>
      </c>
      <c r="E141" s="87">
        <f t="shared" si="17"/>
        <v>0</v>
      </c>
      <c r="F141" s="115">
        <f>IF(B141&lt;$C$17,0,IF(B141=$C$17,-$C$15*#REF!,-P141))</f>
        <v>0</v>
      </c>
      <c r="G141" s="114">
        <f t="shared" si="18"/>
        <v>0</v>
      </c>
      <c r="H141" s="8"/>
      <c r="I141" s="114">
        <f t="shared" si="19"/>
        <v>0</v>
      </c>
      <c r="J141" s="117">
        <f t="shared" si="20"/>
        <v>0</v>
      </c>
      <c r="K141" s="19"/>
      <c r="O141" s="126">
        <v>115</v>
      </c>
      <c r="P141" s="130">
        <f t="shared" si="13"/>
        <v>0</v>
      </c>
      <c r="Q141" s="130">
        <f t="shared" si="15"/>
        <v>0</v>
      </c>
      <c r="R141" s="134">
        <f t="shared" si="14"/>
        <v>0</v>
      </c>
      <c r="W141" s="133">
        <f t="shared" si="22"/>
        <v>0</v>
      </c>
    </row>
    <row r="142" spans="1:23">
      <c r="A142" s="8" t="s">
        <v>821</v>
      </c>
      <c r="B142" s="8">
        <v>116</v>
      </c>
      <c r="C142" s="117">
        <f t="shared" si="21"/>
        <v>0</v>
      </c>
      <c r="D142" s="114">
        <f t="shared" si="16"/>
        <v>8.5265128291212e-14</v>
      </c>
      <c r="E142" s="87">
        <f t="shared" si="17"/>
        <v>0</v>
      </c>
      <c r="F142" s="115">
        <f>IF(B142&lt;$C$17,0,IF(B142=$C$17,-$C$15*#REF!,-P142))</f>
        <v>0</v>
      </c>
      <c r="G142" s="114">
        <f t="shared" si="18"/>
        <v>0</v>
      </c>
      <c r="H142" s="8"/>
      <c r="I142" s="114">
        <f t="shared" si="19"/>
        <v>0</v>
      </c>
      <c r="J142" s="117">
        <f t="shared" si="20"/>
        <v>0</v>
      </c>
      <c r="K142" s="19"/>
      <c r="O142" s="126">
        <v>116</v>
      </c>
      <c r="P142" s="130">
        <f t="shared" si="13"/>
        <v>0</v>
      </c>
      <c r="Q142" s="130">
        <f t="shared" si="15"/>
        <v>0</v>
      </c>
      <c r="R142" s="134">
        <f t="shared" si="14"/>
        <v>0</v>
      </c>
      <c r="V142" s="129"/>
      <c r="W142" s="133">
        <f t="shared" si="22"/>
        <v>0</v>
      </c>
    </row>
    <row r="143" spans="1:23">
      <c r="A143" s="8" t="s">
        <v>822</v>
      </c>
      <c r="B143" s="8">
        <v>117</v>
      </c>
      <c r="C143" s="117">
        <f t="shared" si="21"/>
        <v>0</v>
      </c>
      <c r="D143" s="114">
        <f t="shared" si="16"/>
        <v>8.5265128291212e-14</v>
      </c>
      <c r="E143" s="87">
        <f t="shared" si="17"/>
        <v>0</v>
      </c>
      <c r="F143" s="115">
        <f>IF(B143&lt;$C$17,0,IF(B143=$C$17,-$C$15*#REF!,-P143))</f>
        <v>0</v>
      </c>
      <c r="G143" s="114">
        <f t="shared" si="18"/>
        <v>0</v>
      </c>
      <c r="H143" s="8"/>
      <c r="I143" s="114">
        <f t="shared" si="19"/>
        <v>0</v>
      </c>
      <c r="J143" s="117">
        <f t="shared" si="20"/>
        <v>0</v>
      </c>
      <c r="K143" s="19"/>
      <c r="L143" s="129">
        <f>SUM(W141:W143)</f>
        <v>0</v>
      </c>
      <c r="O143" s="126">
        <v>117</v>
      </c>
      <c r="P143" s="130">
        <f t="shared" si="13"/>
        <v>0</v>
      </c>
      <c r="Q143" s="130">
        <f t="shared" si="15"/>
        <v>0</v>
      </c>
      <c r="R143" s="134">
        <f t="shared" si="14"/>
        <v>0</v>
      </c>
      <c r="W143" s="133">
        <f t="shared" si="22"/>
        <v>0</v>
      </c>
    </row>
    <row r="144" spans="1:23">
      <c r="A144" s="8" t="s">
        <v>823</v>
      </c>
      <c r="B144" s="8">
        <v>118</v>
      </c>
      <c r="C144" s="117">
        <f t="shared" si="21"/>
        <v>0</v>
      </c>
      <c r="D144" s="114">
        <f t="shared" si="16"/>
        <v>8.5265128291212e-14</v>
      </c>
      <c r="E144" s="87">
        <f t="shared" si="17"/>
        <v>0</v>
      </c>
      <c r="F144" s="115">
        <f>IF(B144&lt;$C$17,0,IF(B144=$C$17,-$C$15*#REF!,-P144))</f>
        <v>0</v>
      </c>
      <c r="G144" s="114">
        <f t="shared" si="18"/>
        <v>0</v>
      </c>
      <c r="H144" s="8"/>
      <c r="I144" s="114">
        <f t="shared" si="19"/>
        <v>0</v>
      </c>
      <c r="J144" s="117">
        <f t="shared" si="20"/>
        <v>0</v>
      </c>
      <c r="K144" s="19"/>
      <c r="O144" s="126">
        <v>118</v>
      </c>
      <c r="P144" s="130">
        <f t="shared" si="13"/>
        <v>0</v>
      </c>
      <c r="Q144" s="130">
        <f t="shared" si="15"/>
        <v>0</v>
      </c>
      <c r="R144" s="134">
        <f t="shared" si="14"/>
        <v>0</v>
      </c>
      <c r="W144" s="133">
        <f t="shared" si="22"/>
        <v>0</v>
      </c>
    </row>
    <row r="145" spans="1:23">
      <c r="A145" s="8" t="s">
        <v>824</v>
      </c>
      <c r="B145" s="8">
        <v>119</v>
      </c>
      <c r="C145" s="117">
        <f t="shared" si="21"/>
        <v>0</v>
      </c>
      <c r="D145" s="114">
        <f t="shared" si="16"/>
        <v>8.5265128291212e-14</v>
      </c>
      <c r="E145" s="87">
        <f t="shared" si="17"/>
        <v>0</v>
      </c>
      <c r="F145" s="115">
        <f>IF(B145&lt;$C$17,0,IF(B145=$C$17,-$C$15*#REF!,-P145))</f>
        <v>0</v>
      </c>
      <c r="G145" s="114">
        <f t="shared" si="18"/>
        <v>0</v>
      </c>
      <c r="H145" s="8"/>
      <c r="I145" s="114">
        <f t="shared" si="19"/>
        <v>0</v>
      </c>
      <c r="J145" s="117">
        <f t="shared" si="20"/>
        <v>0</v>
      </c>
      <c r="K145" s="19"/>
      <c r="O145" s="126">
        <v>119</v>
      </c>
      <c r="P145" s="130">
        <f t="shared" si="13"/>
        <v>0</v>
      </c>
      <c r="Q145" s="130">
        <f t="shared" si="15"/>
        <v>0</v>
      </c>
      <c r="R145" s="134">
        <f t="shared" si="14"/>
        <v>0</v>
      </c>
      <c r="W145" s="133">
        <f t="shared" si="22"/>
        <v>0</v>
      </c>
    </row>
    <row r="146" spans="1:23">
      <c r="A146" s="8" t="s">
        <v>825</v>
      </c>
      <c r="B146" s="8">
        <v>120</v>
      </c>
      <c r="C146" s="117">
        <f t="shared" si="21"/>
        <v>0</v>
      </c>
      <c r="D146" s="114">
        <f t="shared" si="16"/>
        <v>8.5265128291212e-14</v>
      </c>
      <c r="E146" s="87">
        <f t="shared" si="17"/>
        <v>0</v>
      </c>
      <c r="F146" s="115">
        <f>IF(B146&lt;$C$17,0,IF(B146=$C$17,-$C$15*#REF!,-P146))</f>
        <v>0</v>
      </c>
      <c r="G146" s="114">
        <f t="shared" si="18"/>
        <v>0</v>
      </c>
      <c r="H146" s="8"/>
      <c r="I146" s="114">
        <f t="shared" si="19"/>
        <v>0</v>
      </c>
      <c r="J146" s="117">
        <f t="shared" si="20"/>
        <v>0</v>
      </c>
      <c r="K146" s="19"/>
      <c r="L146" s="129">
        <f>SUM(W144:W146)</f>
        <v>0</v>
      </c>
      <c r="O146" s="126">
        <v>120</v>
      </c>
      <c r="P146" s="130">
        <f t="shared" si="13"/>
        <v>0</v>
      </c>
      <c r="Q146" s="130">
        <f t="shared" si="15"/>
        <v>0</v>
      </c>
      <c r="R146" s="134">
        <f t="shared" si="14"/>
        <v>0</v>
      </c>
      <c r="V146" s="129"/>
      <c r="W146" s="133">
        <f t="shared" si="22"/>
        <v>0</v>
      </c>
    </row>
    <row r="147" spans="3:3">
      <c r="C147" s="117">
        <f t="shared" si="21"/>
        <v>0</v>
      </c>
    </row>
    <row r="148" spans="10:11">
      <c r="J148" s="129">
        <f>SUM(J27:J146)</f>
        <v>5.88867156265107</v>
      </c>
      <c r="K148" s="106">
        <f>SUM(K27:K146)</f>
        <v>1.72278</v>
      </c>
    </row>
    <row r="149" spans="2:4">
      <c r="B149" s="129"/>
      <c r="D149" s="129"/>
    </row>
    <row r="150" spans="1:2">
      <c r="A150" s="129"/>
      <c r="B150" s="129"/>
    </row>
    <row r="151" spans="2:2">
      <c r="B151" s="129"/>
    </row>
    <row r="154" spans="1:1">
      <c r="A154" s="129"/>
    </row>
  </sheetData>
  <pageMargins left="0.7" right="0.7" top="0.75" bottom="0.75" header="0.3" footer="0.3"/>
  <pageSetup paperSize="9" orientation="portrait"/>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T197"/>
  <sheetViews>
    <sheetView workbookViewId="0">
      <selection activeCell="N7" sqref="N7"/>
    </sheetView>
  </sheetViews>
  <sheetFormatPr defaultColWidth="7.4" defaultRowHeight="18.5" customHeight="1"/>
  <cols>
    <col min="1" max="1" width="7.4" style="36"/>
    <col min="2" max="2" width="17.8666666666667" style="36" customWidth="1"/>
    <col min="3" max="3" width="10.8666666666667" style="36" customWidth="1"/>
    <col min="4" max="4" width="12.4" style="36" customWidth="1"/>
    <col min="5" max="5" width="12.8666666666667" style="36" customWidth="1"/>
    <col min="6" max="6" width="9.4" style="36" customWidth="1"/>
    <col min="7" max="7" width="10" style="36" customWidth="1"/>
    <col min="8" max="12" width="8" style="36" customWidth="1"/>
    <col min="13" max="13" width="8.4" style="36" customWidth="1"/>
    <col min="14" max="14" width="10" style="36" customWidth="1"/>
    <col min="15" max="15" width="9.13333333333333" style="36" customWidth="1"/>
    <col min="16" max="17" width="11" style="36" customWidth="1"/>
    <col min="18" max="18" width="8.4" style="36" customWidth="1"/>
    <col min="19" max="19" width="9" style="36" customWidth="1"/>
    <col min="20" max="16384" width="7.4" style="36"/>
  </cols>
  <sheetData>
    <row r="2" customHeight="1" spans="2:3">
      <c r="B2" s="85" t="s">
        <v>672</v>
      </c>
      <c r="C2" s="85" t="s">
        <v>673</v>
      </c>
    </row>
    <row r="3" customHeight="1" spans="2:20">
      <c r="B3" s="86" t="s">
        <v>675</v>
      </c>
      <c r="C3" s="86">
        <v>4.35</v>
      </c>
      <c r="E3" s="20"/>
      <c r="F3" s="20">
        <v>1</v>
      </c>
      <c r="G3" s="20">
        <v>2</v>
      </c>
      <c r="H3" s="20">
        <v>3</v>
      </c>
      <c r="I3" s="20">
        <v>4</v>
      </c>
      <c r="J3" s="20">
        <v>5</v>
      </c>
      <c r="K3" s="20">
        <v>6</v>
      </c>
      <c r="L3" s="20">
        <v>7</v>
      </c>
      <c r="M3" s="20">
        <v>8</v>
      </c>
      <c r="N3" s="20">
        <v>9</v>
      </c>
      <c r="O3" s="20">
        <v>10</v>
      </c>
      <c r="P3" s="20">
        <v>11</v>
      </c>
      <c r="Q3" s="20">
        <v>12</v>
      </c>
      <c r="R3" s="20">
        <v>13</v>
      </c>
      <c r="S3" s="20">
        <v>14</v>
      </c>
      <c r="T3" s="20">
        <v>15</v>
      </c>
    </row>
    <row r="4" customHeight="1" spans="2:20">
      <c r="B4" s="86" t="s">
        <v>677</v>
      </c>
      <c r="C4" s="86">
        <v>4.35</v>
      </c>
      <c r="E4" s="20" t="s">
        <v>826</v>
      </c>
      <c r="F4" s="87">
        <f>G18</f>
        <v>76.9870822504878</v>
      </c>
      <c r="G4" s="87">
        <f>G19</f>
        <v>76.9870822504878</v>
      </c>
      <c r="H4" s="87">
        <f>G20</f>
        <v>76.9870822504878</v>
      </c>
      <c r="I4" s="87">
        <f>G21</f>
        <v>76.9870822504878</v>
      </c>
      <c r="J4" s="87">
        <f>G22</f>
        <v>76.9870822504878</v>
      </c>
      <c r="K4" s="87">
        <f>G23</f>
        <v>0</v>
      </c>
      <c r="L4" s="87">
        <f>G24</f>
        <v>0</v>
      </c>
      <c r="M4" s="87">
        <f>G25</f>
        <v>0</v>
      </c>
      <c r="N4" s="87">
        <f>G26</f>
        <v>0</v>
      </c>
      <c r="O4" s="87">
        <f>G27</f>
        <v>0</v>
      </c>
      <c r="P4" s="87">
        <f>G28</f>
        <v>0</v>
      </c>
      <c r="Q4" s="87">
        <f>G29</f>
        <v>0</v>
      </c>
      <c r="R4" s="87">
        <f>G30</f>
        <v>0</v>
      </c>
      <c r="S4" s="87">
        <f>G31</f>
        <v>0</v>
      </c>
      <c r="T4" s="87">
        <f>G32</f>
        <v>0</v>
      </c>
    </row>
    <row r="5" customHeight="1" spans="2:20">
      <c r="B5" s="86" t="s">
        <v>680</v>
      </c>
      <c r="C5" s="86">
        <v>4.75</v>
      </c>
      <c r="E5" s="20" t="s">
        <v>827</v>
      </c>
      <c r="F5" s="87">
        <f>S18</f>
        <v>84.455825</v>
      </c>
      <c r="G5" s="87">
        <f>S19</f>
        <v>80.473625</v>
      </c>
      <c r="H5" s="87">
        <f>S20</f>
        <v>76.491425</v>
      </c>
      <c r="I5" s="87">
        <f>S21</f>
        <v>72.509225</v>
      </c>
      <c r="J5" s="87">
        <f>S22</f>
        <v>68.527025</v>
      </c>
      <c r="K5" s="87">
        <f>S23</f>
        <v>0</v>
      </c>
      <c r="L5" s="87">
        <f>S24</f>
        <v>0</v>
      </c>
      <c r="M5" s="87">
        <f>S25</f>
        <v>0</v>
      </c>
      <c r="N5" s="87">
        <f>S26</f>
        <v>0</v>
      </c>
      <c r="O5" s="87">
        <f>S27</f>
        <v>0</v>
      </c>
      <c r="P5" s="87">
        <f>S28</f>
        <v>0</v>
      </c>
      <c r="Q5" s="87">
        <f>S29</f>
        <v>0</v>
      </c>
      <c r="R5" s="87">
        <f>S30</f>
        <v>0</v>
      </c>
      <c r="S5" s="87">
        <f>S31</f>
        <v>0</v>
      </c>
      <c r="T5" s="87">
        <f>S32</f>
        <v>0</v>
      </c>
    </row>
    <row r="6" customHeight="1" spans="2:6">
      <c r="B6" s="86" t="s">
        <v>682</v>
      </c>
      <c r="C6" s="86">
        <v>4.75</v>
      </c>
      <c r="E6" s="11" t="s">
        <v>100</v>
      </c>
      <c r="F6" s="11">
        <f>'储能-投资参数'!C25*12</f>
        <v>0</v>
      </c>
    </row>
    <row r="7" customHeight="1" spans="2:14">
      <c r="B7" s="86" t="s">
        <v>684</v>
      </c>
      <c r="C7" s="86">
        <v>4.9</v>
      </c>
      <c r="D7" s="88" t="s">
        <v>826</v>
      </c>
      <c r="E7" s="89" t="s">
        <v>207</v>
      </c>
      <c r="F7" s="90">
        <f>SUM(C18:C29)</f>
        <v>58.6721310501382</v>
      </c>
      <c r="G7" s="90">
        <f>SUM(C30:C41)</f>
        <v>62.2908997107379</v>
      </c>
      <c r="H7" s="90">
        <f>SUM(C42:C53)</f>
        <v>66.1328661039672</v>
      </c>
      <c r="I7" s="90">
        <f>SUM(C54:C65)</f>
        <v>70.2117965775878</v>
      </c>
      <c r="J7" s="90">
        <f>SUM(C66:C77)</f>
        <v>74.5423065575688</v>
      </c>
      <c r="K7" s="90">
        <f>SUM(C78:C89)</f>
        <v>0</v>
      </c>
      <c r="L7" s="90">
        <f>SUM(C90:C101)</f>
        <v>0</v>
      </c>
      <c r="M7" s="102">
        <f>SUM(C102:C113)</f>
        <v>0</v>
      </c>
      <c r="N7" s="103">
        <f>SUM(F7:M7)</f>
        <v>331.85</v>
      </c>
    </row>
    <row r="8" customHeight="1" spans="4:14">
      <c r="D8" s="91"/>
      <c r="E8" s="92" t="s">
        <v>208</v>
      </c>
      <c r="F8" s="93">
        <f>SUM(D18:D29)</f>
        <v>18.3149512003496</v>
      </c>
      <c r="G8" s="93">
        <f>SUM(D30:D41)</f>
        <v>14.6961825397499</v>
      </c>
      <c r="H8" s="93">
        <f>SUM(D42:D53)</f>
        <v>10.8542161465206</v>
      </c>
      <c r="I8" s="93">
        <f>SUM(D54:D65)</f>
        <v>6.77528567290002</v>
      </c>
      <c r="J8" s="93">
        <f>SUM(D66:D77)</f>
        <v>2.44477569291904</v>
      </c>
      <c r="K8" s="93">
        <f>SUM(D78:D89)</f>
        <v>0</v>
      </c>
      <c r="L8" s="93">
        <f>SUM(D90:D101)</f>
        <v>0</v>
      </c>
      <c r="M8" s="104">
        <f>SUM(D102:D113)</f>
        <v>0</v>
      </c>
      <c r="N8" s="103">
        <f>SUM(F8:M8)</f>
        <v>53.0854112524393</v>
      </c>
    </row>
    <row r="9" customHeight="1" spans="6:13">
      <c r="F9"/>
      <c r="G9"/>
      <c r="H9"/>
      <c r="I9"/>
      <c r="J9"/>
      <c r="K9"/>
      <c r="L9"/>
      <c r="M9"/>
    </row>
    <row r="10" customHeight="1" spans="4:14">
      <c r="D10" s="88" t="s">
        <v>827</v>
      </c>
      <c r="E10" s="89" t="s">
        <v>207</v>
      </c>
      <c r="F10" s="90">
        <f>SUM(N18:N29)</f>
        <v>66.37</v>
      </c>
      <c r="G10" s="90">
        <f>SUM(N30:N41)</f>
        <v>66.37</v>
      </c>
      <c r="H10" s="90">
        <f>SUM(N42:N53)</f>
        <v>66.37</v>
      </c>
      <c r="I10" s="90">
        <f>SUM(N54:N65)</f>
        <v>66.37</v>
      </c>
      <c r="J10" s="90">
        <f>SUM(N66:N77)</f>
        <v>66.37</v>
      </c>
      <c r="K10" s="90">
        <f>SUM(N78:N89)</f>
        <v>0</v>
      </c>
      <c r="L10" s="90">
        <f>SUM(N90:N101)</f>
        <v>0</v>
      </c>
      <c r="M10" s="102">
        <f>SUM(N102:N113)</f>
        <v>0</v>
      </c>
      <c r="N10" s="103">
        <f>SUM(F10:M10)</f>
        <v>331.85</v>
      </c>
    </row>
    <row r="11" customHeight="1" spans="4:14">
      <c r="D11" s="91"/>
      <c r="E11" s="92" t="s">
        <v>208</v>
      </c>
      <c r="F11" s="93">
        <f>SUM(O18:O29)</f>
        <v>18.085825</v>
      </c>
      <c r="G11" s="93">
        <f>SUM(O30:O41)</f>
        <v>14.103625</v>
      </c>
      <c r="H11" s="93">
        <f>SUM(O42:O53)</f>
        <v>10.121425</v>
      </c>
      <c r="I11" s="93">
        <f>SUM(O54:O65)</f>
        <v>6.13922500000002</v>
      </c>
      <c r="J11" s="93">
        <f>SUM(O66:O77)</f>
        <v>2.15702500000002</v>
      </c>
      <c r="K11" s="93">
        <f>SUM(O78:O89)</f>
        <v>0</v>
      </c>
      <c r="L11" s="93">
        <f>SUM(O90:O101)</f>
        <v>0</v>
      </c>
      <c r="M11" s="104">
        <f>SUM(O102:O113)</f>
        <v>0</v>
      </c>
      <c r="N11" s="103">
        <f>SUM(F11:M11)</f>
        <v>50.6071250000001</v>
      </c>
    </row>
    <row r="12" customHeight="1" spans="4:14">
      <c r="D12" s="28"/>
      <c r="E12" s="28"/>
      <c r="F12" s="94"/>
      <c r="G12" s="94"/>
      <c r="H12" s="94"/>
      <c r="I12" s="94"/>
      <c r="J12" s="94"/>
      <c r="K12" s="94"/>
      <c r="L12" s="94"/>
      <c r="M12" s="94"/>
      <c r="N12" s="103"/>
    </row>
    <row r="13" customHeight="1" spans="2:13">
      <c r="B13" s="20" t="s">
        <v>828</v>
      </c>
      <c r="M13" s="20" t="s">
        <v>827</v>
      </c>
    </row>
    <row r="14" customHeight="1" spans="2:19">
      <c r="B14" s="95" t="s">
        <v>686</v>
      </c>
      <c r="C14" s="96"/>
      <c r="D14" s="96"/>
      <c r="E14" s="96"/>
      <c r="F14" s="96"/>
      <c r="G14" s="96"/>
      <c r="M14" s="95" t="s">
        <v>686</v>
      </c>
      <c r="N14" s="96"/>
      <c r="O14" s="96"/>
      <c r="P14" s="96"/>
      <c r="Q14" s="96"/>
      <c r="R14" s="96"/>
      <c r="S14" s="96"/>
    </row>
    <row r="15" customHeight="1" spans="2:19">
      <c r="B15" s="96" t="s">
        <v>688</v>
      </c>
      <c r="C15" s="97">
        <f>'储能-投资参数'!C22/12</f>
        <v>0.005</v>
      </c>
      <c r="D15" s="96" t="s">
        <v>689</v>
      </c>
      <c r="E15" s="98">
        <f>'储能-投资参数'!C23*'储能-投资参数'!C7</f>
        <v>331.85</v>
      </c>
      <c r="F15" s="96" t="s">
        <v>690</v>
      </c>
      <c r="G15" s="96">
        <f>'储能-投资参数'!C24*12</f>
        <v>60</v>
      </c>
      <c r="J15" s="11" t="s">
        <v>690</v>
      </c>
      <c r="K15" s="11">
        <f>G15-F6</f>
        <v>60</v>
      </c>
      <c r="M15" s="96" t="s">
        <v>688</v>
      </c>
      <c r="N15" s="97">
        <f>C15</f>
        <v>0.005</v>
      </c>
      <c r="O15" s="96" t="s">
        <v>689</v>
      </c>
      <c r="P15" s="98">
        <f>E15</f>
        <v>331.85</v>
      </c>
      <c r="Q15" s="96" t="s">
        <v>690</v>
      </c>
      <c r="R15" s="96">
        <f>K15</f>
        <v>60</v>
      </c>
      <c r="S15" s="20"/>
    </row>
    <row r="16" customHeight="1" spans="2:19">
      <c r="B16" s="95" t="s">
        <v>699</v>
      </c>
      <c r="C16" s="95"/>
      <c r="D16" s="95"/>
      <c r="E16" s="95"/>
      <c r="G16" s="96"/>
      <c r="M16" s="95" t="s">
        <v>699</v>
      </c>
      <c r="N16" s="95"/>
      <c r="O16" s="95"/>
      <c r="P16" s="95"/>
      <c r="Q16" s="105"/>
      <c r="S16" s="96"/>
    </row>
    <row r="17" customHeight="1" spans="2:19">
      <c r="B17" s="95" t="s">
        <v>690</v>
      </c>
      <c r="C17" s="95" t="s">
        <v>703</v>
      </c>
      <c r="D17" s="95" t="s">
        <v>704</v>
      </c>
      <c r="E17" s="95" t="s">
        <v>705</v>
      </c>
      <c r="F17" s="96" t="s">
        <v>829</v>
      </c>
      <c r="G17" s="96" t="s">
        <v>830</v>
      </c>
      <c r="H17" s="99" t="s">
        <v>690</v>
      </c>
      <c r="I17" s="99" t="s">
        <v>703</v>
      </c>
      <c r="J17" s="99" t="s">
        <v>704</v>
      </c>
      <c r="K17" s="99" t="s">
        <v>705</v>
      </c>
      <c r="M17" s="95" t="s">
        <v>690</v>
      </c>
      <c r="N17" s="95" t="s">
        <v>703</v>
      </c>
      <c r="O17" s="95" t="s">
        <v>704</v>
      </c>
      <c r="P17" s="95" t="s">
        <v>705</v>
      </c>
      <c r="Q17" s="95" t="s">
        <v>831</v>
      </c>
      <c r="R17" s="96" t="s">
        <v>829</v>
      </c>
      <c r="S17" s="96" t="s">
        <v>830</v>
      </c>
    </row>
    <row r="18" customHeight="1" spans="2:19">
      <c r="B18" s="96">
        <v>1</v>
      </c>
      <c r="C18" s="98">
        <f t="shared" ref="C18:C49" si="0">IF(B18&lt;$F$6,0,IF(B18&gt;$G$15,0,I18))</f>
        <v>4.75634018754065</v>
      </c>
      <c r="D18" s="98">
        <f t="shared" ref="D18:D49" si="1">IF(B18&lt;=$F$6,PRODUCT($E$15,$C$15),J18)</f>
        <v>1.65925</v>
      </c>
      <c r="E18" s="100">
        <f t="shared" ref="E18:E49" si="2">C18+D18</f>
        <v>6.41559018754065</v>
      </c>
      <c r="F18" s="96">
        <v>1</v>
      </c>
      <c r="G18" s="101">
        <f>IF(F18*12&gt;$G$15,0,SUM(E18:E29))</f>
        <v>76.9870822504878</v>
      </c>
      <c r="H18" s="36">
        <v>1</v>
      </c>
      <c r="I18" s="36">
        <f t="shared" ref="I18:I49" si="3">IF(B18&lt;=$F$6,0,IF(B18&gt;$G$15,0,PPMT($C$15,B18-$F$6,$K$15,-$E$15)))</f>
        <v>4.75634018754065</v>
      </c>
      <c r="J18" s="36">
        <f t="shared" ref="J18:J49" si="4">IF(B18&lt;=$F$6,0,IF(B18&gt;$G$15,0,IF(I18=0,PRODUCT($E$15,$C$15),K18-I18)))</f>
        <v>1.65925</v>
      </c>
      <c r="K18" s="36">
        <f t="shared" ref="K18:K49" si="5">IF(B18&lt;=$F$6,0,IF(B18&gt;$G$15,0,PMT($C$15,$K$15,-$E$15)))</f>
        <v>6.41559018754065</v>
      </c>
      <c r="M18" s="96">
        <v>1</v>
      </c>
      <c r="N18" s="98">
        <f t="shared" ref="N18:N49" si="6">IF(M18&gt;$G$15,0,$P$15/$R$15)</f>
        <v>5.53083333333333</v>
      </c>
      <c r="O18" s="98">
        <f>IF(M18&gt;$G$15,0,P15*$N$15)</f>
        <v>1.65925</v>
      </c>
      <c r="P18" s="100">
        <f t="shared" ref="P18:P49" si="7">N18+O18</f>
        <v>7.19008333333333</v>
      </c>
      <c r="Q18" s="100">
        <f>P15-N18</f>
        <v>326.319166666667</v>
      </c>
      <c r="R18" s="96">
        <v>1</v>
      </c>
      <c r="S18" s="101">
        <f>IF(R18*12&gt;$R$15,0,SUM(P18:P29))</f>
        <v>84.455825</v>
      </c>
    </row>
    <row r="19" customHeight="1" spans="2:19">
      <c r="B19" s="96">
        <v>2</v>
      </c>
      <c r="C19" s="98">
        <f t="shared" si="0"/>
        <v>4.78012188847836</v>
      </c>
      <c r="D19" s="98">
        <f t="shared" si="1"/>
        <v>1.6354682990623</v>
      </c>
      <c r="E19" s="100">
        <f t="shared" si="2"/>
        <v>6.41559018754065</v>
      </c>
      <c r="F19" s="96">
        <v>2</v>
      </c>
      <c r="G19" s="101">
        <f>IF(F19*12&gt;$G$15,0,SUM(E30:E41))</f>
        <v>76.9870822504878</v>
      </c>
      <c r="H19" s="36">
        <v>2</v>
      </c>
      <c r="I19" s="36">
        <f t="shared" si="3"/>
        <v>4.78012188847836</v>
      </c>
      <c r="J19" s="36">
        <f t="shared" si="4"/>
        <v>1.6354682990623</v>
      </c>
      <c r="K19" s="36">
        <f t="shared" si="5"/>
        <v>6.41559018754065</v>
      </c>
      <c r="M19" s="96">
        <v>2</v>
      </c>
      <c r="N19" s="98">
        <f t="shared" si="6"/>
        <v>5.53083333333333</v>
      </c>
      <c r="O19" s="98">
        <f t="shared" ref="O19:O50" si="8">IF(M19&gt;$G$15,0,Q18*$N$15)</f>
        <v>1.63159583333333</v>
      </c>
      <c r="P19" s="100">
        <f t="shared" si="7"/>
        <v>7.16242916666667</v>
      </c>
      <c r="Q19" s="100">
        <f t="shared" ref="Q19:Q50" si="9">Q18-N19</f>
        <v>320.788333333333</v>
      </c>
      <c r="R19" s="96">
        <v>2</v>
      </c>
      <c r="S19" s="101">
        <f>IF(R19*12&gt;$G$15,0,SUM(P30:P41))</f>
        <v>80.473625</v>
      </c>
    </row>
    <row r="20" customHeight="1" spans="2:19">
      <c r="B20" s="96">
        <v>3</v>
      </c>
      <c r="C20" s="98">
        <f t="shared" si="0"/>
        <v>4.80402249792075</v>
      </c>
      <c r="D20" s="98">
        <f t="shared" si="1"/>
        <v>1.61156768961991</v>
      </c>
      <c r="E20" s="100">
        <f t="shared" si="2"/>
        <v>6.41559018754065</v>
      </c>
      <c r="F20" s="96">
        <v>3</v>
      </c>
      <c r="G20" s="101">
        <f>IF(F20*12&gt;$G$15,0,SUM(E42:E53))</f>
        <v>76.9870822504878</v>
      </c>
      <c r="H20" s="36">
        <v>3</v>
      </c>
      <c r="I20" s="36">
        <f t="shared" si="3"/>
        <v>4.80402249792075</v>
      </c>
      <c r="J20" s="36">
        <f t="shared" si="4"/>
        <v>1.61156768961991</v>
      </c>
      <c r="K20" s="36">
        <f t="shared" si="5"/>
        <v>6.41559018754065</v>
      </c>
      <c r="M20" s="96">
        <v>3</v>
      </c>
      <c r="N20" s="98">
        <f t="shared" si="6"/>
        <v>5.53083333333333</v>
      </c>
      <c r="O20" s="98">
        <f t="shared" si="8"/>
        <v>1.60394166666667</v>
      </c>
      <c r="P20" s="100">
        <f t="shared" si="7"/>
        <v>7.134775</v>
      </c>
      <c r="Q20" s="100">
        <f t="shared" si="9"/>
        <v>315.2575</v>
      </c>
      <c r="R20" s="96">
        <v>3</v>
      </c>
      <c r="S20" s="101">
        <f>IF(R20*12&gt;$G$15,0,SUM(P42:P53))</f>
        <v>76.491425</v>
      </c>
    </row>
    <row r="21" customHeight="1" spans="2:19">
      <c r="B21" s="96">
        <v>4</v>
      </c>
      <c r="C21" s="98">
        <f t="shared" si="0"/>
        <v>4.82804261041035</v>
      </c>
      <c r="D21" s="98">
        <f t="shared" si="1"/>
        <v>1.5875475771303</v>
      </c>
      <c r="E21" s="100">
        <f t="shared" si="2"/>
        <v>6.41559018754065</v>
      </c>
      <c r="F21" s="96">
        <v>4</v>
      </c>
      <c r="G21" s="101">
        <f>IF(F21*12&gt;$G$15,0,SUM(E54:E65))</f>
        <v>76.9870822504878</v>
      </c>
      <c r="H21" s="36">
        <v>4</v>
      </c>
      <c r="I21" s="36">
        <f t="shared" si="3"/>
        <v>4.82804261041035</v>
      </c>
      <c r="J21" s="36">
        <f t="shared" si="4"/>
        <v>1.5875475771303</v>
      </c>
      <c r="K21" s="36">
        <f t="shared" si="5"/>
        <v>6.41559018754065</v>
      </c>
      <c r="M21" s="96">
        <v>4</v>
      </c>
      <c r="N21" s="98">
        <f t="shared" si="6"/>
        <v>5.53083333333333</v>
      </c>
      <c r="O21" s="98">
        <f t="shared" si="8"/>
        <v>1.5762875</v>
      </c>
      <c r="P21" s="100">
        <f t="shared" si="7"/>
        <v>7.10712083333333</v>
      </c>
      <c r="Q21" s="100">
        <f t="shared" si="9"/>
        <v>309.726666666667</v>
      </c>
      <c r="R21" s="96">
        <v>4</v>
      </c>
      <c r="S21" s="101">
        <f>IF(R21*12&gt;$G$15,0,SUM(P54:P65))</f>
        <v>72.509225</v>
      </c>
    </row>
    <row r="22" customHeight="1" spans="2:19">
      <c r="B22" s="96">
        <v>5</v>
      </c>
      <c r="C22" s="98">
        <f t="shared" si="0"/>
        <v>4.8521828234624</v>
      </c>
      <c r="D22" s="98">
        <f t="shared" si="1"/>
        <v>1.56340736407825</v>
      </c>
      <c r="E22" s="100">
        <f t="shared" si="2"/>
        <v>6.41559018754065</v>
      </c>
      <c r="F22" s="96">
        <v>5</v>
      </c>
      <c r="G22" s="101">
        <f>IF(F22*12&gt;$G$15,0,SUM(E66:E77))</f>
        <v>76.9870822504878</v>
      </c>
      <c r="H22" s="36">
        <v>5</v>
      </c>
      <c r="I22" s="36">
        <f t="shared" si="3"/>
        <v>4.8521828234624</v>
      </c>
      <c r="J22" s="36">
        <f t="shared" si="4"/>
        <v>1.56340736407825</v>
      </c>
      <c r="K22" s="36">
        <f t="shared" si="5"/>
        <v>6.41559018754065</v>
      </c>
      <c r="M22" s="96">
        <v>5</v>
      </c>
      <c r="N22" s="98">
        <f t="shared" si="6"/>
        <v>5.53083333333333</v>
      </c>
      <c r="O22" s="98">
        <f t="shared" si="8"/>
        <v>1.54863333333333</v>
      </c>
      <c r="P22" s="100">
        <f t="shared" si="7"/>
        <v>7.07946666666667</v>
      </c>
      <c r="Q22" s="100">
        <f t="shared" si="9"/>
        <v>304.195833333333</v>
      </c>
      <c r="R22" s="96">
        <v>5</v>
      </c>
      <c r="S22" s="101">
        <f>IF(R22*12&gt;$G$15,0,SUM(P66:P77))</f>
        <v>68.527025</v>
      </c>
    </row>
    <row r="23" customHeight="1" spans="2:19">
      <c r="B23" s="96">
        <v>6</v>
      </c>
      <c r="C23" s="98">
        <f t="shared" si="0"/>
        <v>4.87644373757972</v>
      </c>
      <c r="D23" s="98">
        <f t="shared" si="1"/>
        <v>1.53914644996094</v>
      </c>
      <c r="E23" s="100">
        <f t="shared" si="2"/>
        <v>6.41559018754065</v>
      </c>
      <c r="F23" s="96">
        <v>6</v>
      </c>
      <c r="G23" s="101">
        <f>IF(F23*12&gt;$G$15,0,SUM(E78:E89))</f>
        <v>0</v>
      </c>
      <c r="H23" s="36">
        <v>6</v>
      </c>
      <c r="I23" s="36">
        <f t="shared" si="3"/>
        <v>4.87644373757972</v>
      </c>
      <c r="J23" s="36">
        <f t="shared" si="4"/>
        <v>1.53914644996094</v>
      </c>
      <c r="K23" s="36">
        <f t="shared" si="5"/>
        <v>6.41559018754065</v>
      </c>
      <c r="M23" s="96">
        <v>6</v>
      </c>
      <c r="N23" s="98">
        <f t="shared" si="6"/>
        <v>5.53083333333333</v>
      </c>
      <c r="O23" s="98">
        <f t="shared" si="8"/>
        <v>1.52097916666667</v>
      </c>
      <c r="P23" s="100">
        <f t="shared" si="7"/>
        <v>7.0518125</v>
      </c>
      <c r="Q23" s="100">
        <f t="shared" si="9"/>
        <v>298.665</v>
      </c>
      <c r="R23" s="96">
        <v>6</v>
      </c>
      <c r="S23" s="101">
        <f>IF(R23*12&gt;$G$15,0,SUM(P78:P89))</f>
        <v>0</v>
      </c>
    </row>
    <row r="24" customHeight="1" spans="2:19">
      <c r="B24" s="96">
        <v>7</v>
      </c>
      <c r="C24" s="98">
        <f t="shared" si="0"/>
        <v>4.90082595626761</v>
      </c>
      <c r="D24" s="98">
        <f t="shared" si="1"/>
        <v>1.51476423127304</v>
      </c>
      <c r="E24" s="100">
        <f t="shared" si="2"/>
        <v>6.41559018754065</v>
      </c>
      <c r="F24" s="96">
        <v>7</v>
      </c>
      <c r="G24" s="101">
        <f>IF(F24*12&gt;$G$15,0,SUM(E90:E101))</f>
        <v>0</v>
      </c>
      <c r="H24" s="36">
        <v>7</v>
      </c>
      <c r="I24" s="36">
        <f t="shared" si="3"/>
        <v>4.90082595626761</v>
      </c>
      <c r="J24" s="36">
        <f t="shared" si="4"/>
        <v>1.51476423127304</v>
      </c>
      <c r="K24" s="36">
        <f t="shared" si="5"/>
        <v>6.41559018754065</v>
      </c>
      <c r="M24" s="96">
        <v>7</v>
      </c>
      <c r="N24" s="98">
        <f t="shared" si="6"/>
        <v>5.53083333333333</v>
      </c>
      <c r="O24" s="98">
        <f t="shared" si="8"/>
        <v>1.493325</v>
      </c>
      <c r="P24" s="100">
        <f t="shared" si="7"/>
        <v>7.02415833333333</v>
      </c>
      <c r="Q24" s="100">
        <f t="shared" si="9"/>
        <v>293.134166666667</v>
      </c>
      <c r="R24" s="96">
        <v>7</v>
      </c>
      <c r="S24" s="101">
        <f>IF(R24*12&gt;$G$15,0,SUM(P90:P101))</f>
        <v>0</v>
      </c>
    </row>
    <row r="25" customHeight="1" spans="2:19">
      <c r="B25" s="96">
        <v>8</v>
      </c>
      <c r="C25" s="98">
        <f t="shared" si="0"/>
        <v>4.92533008604895</v>
      </c>
      <c r="D25" s="98">
        <f t="shared" si="1"/>
        <v>1.4902601014917</v>
      </c>
      <c r="E25" s="100">
        <f t="shared" si="2"/>
        <v>6.41559018754065</v>
      </c>
      <c r="F25" s="96">
        <v>8</v>
      </c>
      <c r="G25" s="101">
        <f>IF(F25*12&gt;$G$15,0,SUM(E102:E113))</f>
        <v>0</v>
      </c>
      <c r="H25" s="36">
        <v>8</v>
      </c>
      <c r="I25" s="36">
        <f t="shared" si="3"/>
        <v>4.92533008604895</v>
      </c>
      <c r="J25" s="36">
        <f t="shared" si="4"/>
        <v>1.4902601014917</v>
      </c>
      <c r="K25" s="36">
        <f t="shared" si="5"/>
        <v>6.41559018754065</v>
      </c>
      <c r="M25" s="96">
        <v>8</v>
      </c>
      <c r="N25" s="98">
        <f t="shared" si="6"/>
        <v>5.53083333333333</v>
      </c>
      <c r="O25" s="98">
        <f t="shared" si="8"/>
        <v>1.46567083333333</v>
      </c>
      <c r="P25" s="100">
        <f t="shared" si="7"/>
        <v>6.99650416666667</v>
      </c>
      <c r="Q25" s="100">
        <f t="shared" si="9"/>
        <v>287.603333333334</v>
      </c>
      <c r="R25" s="96">
        <v>8</v>
      </c>
      <c r="S25" s="101">
        <f>IF(R25*12&gt;$G$15,0,SUM(P102:P113))</f>
        <v>0</v>
      </c>
    </row>
    <row r="26" customHeight="1" spans="2:19">
      <c r="B26" s="96">
        <v>9</v>
      </c>
      <c r="C26" s="98">
        <f t="shared" si="0"/>
        <v>4.9499567364792</v>
      </c>
      <c r="D26" s="98">
        <f t="shared" si="1"/>
        <v>1.46563345106146</v>
      </c>
      <c r="E26" s="100">
        <f t="shared" si="2"/>
        <v>6.41559018754065</v>
      </c>
      <c r="F26" s="96">
        <v>9</v>
      </c>
      <c r="G26" s="101">
        <f>IF(F26*12&gt;$G$15,0,SUM(E114:E125))</f>
        <v>0</v>
      </c>
      <c r="H26" s="36">
        <v>9</v>
      </c>
      <c r="I26" s="36">
        <f t="shared" si="3"/>
        <v>4.9499567364792</v>
      </c>
      <c r="J26" s="36">
        <f t="shared" si="4"/>
        <v>1.46563345106146</v>
      </c>
      <c r="K26" s="36">
        <f t="shared" si="5"/>
        <v>6.41559018754065</v>
      </c>
      <c r="M26" s="96">
        <v>9</v>
      </c>
      <c r="N26" s="98">
        <f t="shared" si="6"/>
        <v>5.53083333333333</v>
      </c>
      <c r="O26" s="98">
        <f t="shared" si="8"/>
        <v>1.43801666666667</v>
      </c>
      <c r="P26" s="100">
        <f t="shared" si="7"/>
        <v>6.96885</v>
      </c>
      <c r="Q26" s="100">
        <f t="shared" si="9"/>
        <v>282.0725</v>
      </c>
      <c r="R26" s="96">
        <v>9</v>
      </c>
      <c r="S26" s="101">
        <f>IF(R26*12&gt;$G$15,0,SUM(P114:P125))</f>
        <v>0</v>
      </c>
    </row>
    <row r="27" customHeight="1" spans="2:19">
      <c r="B27" s="96">
        <v>10</v>
      </c>
      <c r="C27" s="98">
        <f t="shared" si="0"/>
        <v>4.97470652016159</v>
      </c>
      <c r="D27" s="98">
        <f t="shared" si="1"/>
        <v>1.44088366737906</v>
      </c>
      <c r="E27" s="100">
        <f t="shared" si="2"/>
        <v>6.41559018754065</v>
      </c>
      <c r="F27" s="96">
        <v>10</v>
      </c>
      <c r="G27" s="101">
        <f>IF(F27*12&gt;$G$15,0,SUM(E126:E137))</f>
        <v>0</v>
      </c>
      <c r="H27" s="36">
        <v>10</v>
      </c>
      <c r="I27" s="36">
        <f t="shared" si="3"/>
        <v>4.97470652016159</v>
      </c>
      <c r="J27" s="36">
        <f t="shared" si="4"/>
        <v>1.44088366737906</v>
      </c>
      <c r="K27" s="36">
        <f t="shared" si="5"/>
        <v>6.41559018754065</v>
      </c>
      <c r="M27" s="96">
        <v>10</v>
      </c>
      <c r="N27" s="98">
        <f t="shared" si="6"/>
        <v>5.53083333333333</v>
      </c>
      <c r="O27" s="98">
        <f t="shared" si="8"/>
        <v>1.4103625</v>
      </c>
      <c r="P27" s="100">
        <f t="shared" si="7"/>
        <v>6.94119583333333</v>
      </c>
      <c r="Q27" s="100">
        <f t="shared" si="9"/>
        <v>276.541666666667</v>
      </c>
      <c r="R27" s="96">
        <v>10</v>
      </c>
      <c r="S27" s="101">
        <f>IF(R27*12&gt;$G$15,0,SUM(P126:P137))</f>
        <v>0</v>
      </c>
    </row>
    <row r="28" customHeight="1" spans="2:19">
      <c r="B28" s="96">
        <v>11</v>
      </c>
      <c r="C28" s="98">
        <f t="shared" si="0"/>
        <v>4.9995800527624</v>
      </c>
      <c r="D28" s="98">
        <f t="shared" si="1"/>
        <v>1.41601013477825</v>
      </c>
      <c r="E28" s="100">
        <f t="shared" si="2"/>
        <v>6.41559018754065</v>
      </c>
      <c r="F28" s="96">
        <v>11</v>
      </c>
      <c r="G28" s="101">
        <f>IF(F28*12&gt;$G$15,0,SUM(E138:E149))</f>
        <v>0</v>
      </c>
      <c r="H28" s="36">
        <v>11</v>
      </c>
      <c r="I28" s="36">
        <f t="shared" si="3"/>
        <v>4.9995800527624</v>
      </c>
      <c r="J28" s="36">
        <f t="shared" si="4"/>
        <v>1.41601013477825</v>
      </c>
      <c r="K28" s="36">
        <f t="shared" si="5"/>
        <v>6.41559018754065</v>
      </c>
      <c r="M28" s="96">
        <v>11</v>
      </c>
      <c r="N28" s="98">
        <f t="shared" si="6"/>
        <v>5.53083333333333</v>
      </c>
      <c r="O28" s="98">
        <f t="shared" si="8"/>
        <v>1.38270833333333</v>
      </c>
      <c r="P28" s="100">
        <f t="shared" si="7"/>
        <v>6.91354166666667</v>
      </c>
      <c r="Q28" s="100">
        <f t="shared" si="9"/>
        <v>271.010833333334</v>
      </c>
      <c r="R28" s="96">
        <v>11</v>
      </c>
      <c r="S28" s="101">
        <f>IF(R28*12&gt;$G$15,0,SUM(P138:P149))</f>
        <v>0</v>
      </c>
    </row>
    <row r="29" customHeight="1" spans="2:19">
      <c r="B29" s="96">
        <v>12</v>
      </c>
      <c r="C29" s="98">
        <f t="shared" si="0"/>
        <v>5.02457795302621</v>
      </c>
      <c r="D29" s="98">
        <f t="shared" si="1"/>
        <v>1.39101223451444</v>
      </c>
      <c r="E29" s="100">
        <f t="shared" si="2"/>
        <v>6.41559018754065</v>
      </c>
      <c r="F29" s="96">
        <v>12</v>
      </c>
      <c r="G29" s="101">
        <f>IF(F29*12&gt;$G$15,0,SUM(E150:E161))</f>
        <v>0</v>
      </c>
      <c r="H29" s="36">
        <v>12</v>
      </c>
      <c r="I29" s="36">
        <f t="shared" si="3"/>
        <v>5.02457795302621</v>
      </c>
      <c r="J29" s="36">
        <f t="shared" si="4"/>
        <v>1.39101223451444</v>
      </c>
      <c r="K29" s="36">
        <f t="shared" si="5"/>
        <v>6.41559018754065</v>
      </c>
      <c r="M29" s="96">
        <v>12</v>
      </c>
      <c r="N29" s="98">
        <f t="shared" si="6"/>
        <v>5.53083333333333</v>
      </c>
      <c r="O29" s="98">
        <f t="shared" si="8"/>
        <v>1.35505416666667</v>
      </c>
      <c r="P29" s="100">
        <f t="shared" si="7"/>
        <v>6.8858875</v>
      </c>
      <c r="Q29" s="100">
        <f t="shared" si="9"/>
        <v>265.48</v>
      </c>
      <c r="R29" s="96">
        <v>12</v>
      </c>
      <c r="S29" s="101">
        <f>IF(R29*12&gt;$G$15,0,SUM(P150:P161))</f>
        <v>0</v>
      </c>
    </row>
    <row r="30" customHeight="1" spans="2:19">
      <c r="B30" s="96">
        <v>13</v>
      </c>
      <c r="C30" s="98">
        <f t="shared" si="0"/>
        <v>5.04970084279134</v>
      </c>
      <c r="D30" s="98">
        <f t="shared" si="1"/>
        <v>1.36588934474931</v>
      </c>
      <c r="E30" s="100">
        <f t="shared" si="2"/>
        <v>6.41559018754065</v>
      </c>
      <c r="F30" s="96">
        <v>13</v>
      </c>
      <c r="G30" s="101">
        <f>IF(F30*12&gt;$G$15,0,SUM(E162:E173))</f>
        <v>0</v>
      </c>
      <c r="H30" s="36">
        <v>13</v>
      </c>
      <c r="I30" s="36">
        <f t="shared" si="3"/>
        <v>5.04970084279134</v>
      </c>
      <c r="J30" s="36">
        <f t="shared" si="4"/>
        <v>1.36588934474931</v>
      </c>
      <c r="K30" s="36">
        <f t="shared" si="5"/>
        <v>6.41559018754065</v>
      </c>
      <c r="M30" s="96">
        <v>13</v>
      </c>
      <c r="N30" s="98">
        <f t="shared" si="6"/>
        <v>5.53083333333333</v>
      </c>
      <c r="O30" s="98">
        <f t="shared" si="8"/>
        <v>1.3274</v>
      </c>
      <c r="P30" s="100">
        <f t="shared" si="7"/>
        <v>6.85823333333333</v>
      </c>
      <c r="Q30" s="100">
        <f t="shared" si="9"/>
        <v>259.949166666667</v>
      </c>
      <c r="R30" s="96">
        <v>13</v>
      </c>
      <c r="S30" s="101">
        <f>IF(R30*12&gt;$G$15,0,SUM(P162:P173))</f>
        <v>0</v>
      </c>
    </row>
    <row r="31" customHeight="1" spans="2:19">
      <c r="B31" s="96">
        <v>14</v>
      </c>
      <c r="C31" s="98">
        <f t="shared" si="0"/>
        <v>5.0749493470053</v>
      </c>
      <c r="D31" s="98">
        <f t="shared" si="1"/>
        <v>1.34064084053535</v>
      </c>
      <c r="E31" s="100">
        <f t="shared" si="2"/>
        <v>6.41559018754065</v>
      </c>
      <c r="F31" s="96">
        <v>14</v>
      </c>
      <c r="G31" s="101">
        <f>IF(F31*12&gt;$G$15,0,SUM(E174:E185))</f>
        <v>0</v>
      </c>
      <c r="H31" s="36">
        <v>14</v>
      </c>
      <c r="I31" s="36">
        <f t="shared" si="3"/>
        <v>5.0749493470053</v>
      </c>
      <c r="J31" s="36">
        <f t="shared" si="4"/>
        <v>1.34064084053535</v>
      </c>
      <c r="K31" s="36">
        <f t="shared" si="5"/>
        <v>6.41559018754065</v>
      </c>
      <c r="M31" s="96">
        <v>14</v>
      </c>
      <c r="N31" s="98">
        <f t="shared" si="6"/>
        <v>5.53083333333333</v>
      </c>
      <c r="O31" s="98">
        <f t="shared" si="8"/>
        <v>1.29974583333333</v>
      </c>
      <c r="P31" s="100">
        <f t="shared" si="7"/>
        <v>6.83057916666667</v>
      </c>
      <c r="Q31" s="100">
        <f t="shared" si="9"/>
        <v>254.418333333334</v>
      </c>
      <c r="R31" s="96">
        <v>14</v>
      </c>
      <c r="S31" s="101">
        <f>IF(R31*12&gt;$G$15,0,SUM(P174:P185))</f>
        <v>0</v>
      </c>
    </row>
    <row r="32" customHeight="1" spans="2:19">
      <c r="B32" s="96">
        <v>15</v>
      </c>
      <c r="C32" s="98">
        <f t="shared" si="0"/>
        <v>5.10032409374033</v>
      </c>
      <c r="D32" s="98">
        <f t="shared" si="1"/>
        <v>1.31526609380033</v>
      </c>
      <c r="E32" s="100">
        <f t="shared" si="2"/>
        <v>6.41559018754065</v>
      </c>
      <c r="F32" s="96">
        <v>15</v>
      </c>
      <c r="G32" s="101">
        <f>IF(F32*12&gt;$G$15,0,SUM(E186:E197))</f>
        <v>0</v>
      </c>
      <c r="H32" s="36">
        <v>15</v>
      </c>
      <c r="I32" s="36">
        <f t="shared" si="3"/>
        <v>5.10032409374033</v>
      </c>
      <c r="J32" s="36">
        <f t="shared" si="4"/>
        <v>1.31526609380033</v>
      </c>
      <c r="K32" s="36">
        <f t="shared" si="5"/>
        <v>6.41559018754065</v>
      </c>
      <c r="M32" s="96">
        <v>15</v>
      </c>
      <c r="N32" s="98">
        <f t="shared" si="6"/>
        <v>5.53083333333333</v>
      </c>
      <c r="O32" s="98">
        <f t="shared" si="8"/>
        <v>1.27209166666667</v>
      </c>
      <c r="P32" s="100">
        <f t="shared" si="7"/>
        <v>6.802925</v>
      </c>
      <c r="Q32" s="100">
        <f t="shared" si="9"/>
        <v>248.8875</v>
      </c>
      <c r="R32" s="96">
        <v>15</v>
      </c>
      <c r="S32" s="101">
        <f>IF(R32*12&gt;$G$15,0,SUM(P186:P197))</f>
        <v>0</v>
      </c>
    </row>
    <row r="33" customHeight="1" spans="2:17">
      <c r="B33" s="96">
        <v>16</v>
      </c>
      <c r="C33" s="98">
        <f t="shared" si="0"/>
        <v>5.12582571420903</v>
      </c>
      <c r="D33" s="98">
        <f t="shared" si="1"/>
        <v>1.28976447333162</v>
      </c>
      <c r="E33" s="100">
        <f t="shared" si="2"/>
        <v>6.41559018754065</v>
      </c>
      <c r="H33" s="36">
        <v>16</v>
      </c>
      <c r="I33" s="36">
        <f t="shared" si="3"/>
        <v>5.12582571420903</v>
      </c>
      <c r="J33" s="36">
        <f t="shared" si="4"/>
        <v>1.28976447333162</v>
      </c>
      <c r="K33" s="36">
        <f t="shared" si="5"/>
        <v>6.41559018754065</v>
      </c>
      <c r="M33" s="96">
        <v>16</v>
      </c>
      <c r="N33" s="98">
        <f t="shared" si="6"/>
        <v>5.53083333333333</v>
      </c>
      <c r="O33" s="98">
        <f t="shared" si="8"/>
        <v>1.2444375</v>
      </c>
      <c r="P33" s="100">
        <f t="shared" si="7"/>
        <v>6.77527083333333</v>
      </c>
      <c r="Q33" s="100">
        <f t="shared" si="9"/>
        <v>243.356666666667</v>
      </c>
    </row>
    <row r="34" customHeight="1" spans="2:17">
      <c r="B34" s="96">
        <v>17</v>
      </c>
      <c r="C34" s="98">
        <f t="shared" si="0"/>
        <v>5.15145484278007</v>
      </c>
      <c r="D34" s="98">
        <f t="shared" si="1"/>
        <v>1.26413534476058</v>
      </c>
      <c r="E34" s="100">
        <f t="shared" si="2"/>
        <v>6.41559018754065</v>
      </c>
      <c r="H34" s="36">
        <v>17</v>
      </c>
      <c r="I34" s="36">
        <f t="shared" si="3"/>
        <v>5.15145484278007</v>
      </c>
      <c r="J34" s="36">
        <f t="shared" si="4"/>
        <v>1.26413534476058</v>
      </c>
      <c r="K34" s="36">
        <f t="shared" si="5"/>
        <v>6.41559018754065</v>
      </c>
      <c r="M34" s="96">
        <v>17</v>
      </c>
      <c r="N34" s="98">
        <f t="shared" si="6"/>
        <v>5.53083333333333</v>
      </c>
      <c r="O34" s="98">
        <f t="shared" si="8"/>
        <v>1.21678333333334</v>
      </c>
      <c r="P34" s="100">
        <f t="shared" si="7"/>
        <v>6.74761666666667</v>
      </c>
      <c r="Q34" s="100">
        <f t="shared" si="9"/>
        <v>237.825833333334</v>
      </c>
    </row>
    <row r="35" customHeight="1" spans="2:17">
      <c r="B35" s="96">
        <v>18</v>
      </c>
      <c r="C35" s="98">
        <f t="shared" si="0"/>
        <v>5.17721211699398</v>
      </c>
      <c r="D35" s="98">
        <f t="shared" si="1"/>
        <v>1.23837807054668</v>
      </c>
      <c r="E35" s="100">
        <f t="shared" si="2"/>
        <v>6.41559018754065</v>
      </c>
      <c r="H35" s="36">
        <v>18</v>
      </c>
      <c r="I35" s="36">
        <f t="shared" si="3"/>
        <v>5.17721211699398</v>
      </c>
      <c r="J35" s="36">
        <f t="shared" si="4"/>
        <v>1.23837807054668</v>
      </c>
      <c r="K35" s="36">
        <f t="shared" si="5"/>
        <v>6.41559018754065</v>
      </c>
      <c r="M35" s="96">
        <v>18</v>
      </c>
      <c r="N35" s="98">
        <f t="shared" si="6"/>
        <v>5.53083333333333</v>
      </c>
      <c r="O35" s="98">
        <f t="shared" si="8"/>
        <v>1.18912916666667</v>
      </c>
      <c r="P35" s="100">
        <f t="shared" si="7"/>
        <v>6.7199625</v>
      </c>
      <c r="Q35" s="100">
        <f t="shared" si="9"/>
        <v>232.295</v>
      </c>
    </row>
    <row r="36" customHeight="1" spans="2:17">
      <c r="B36" s="96">
        <v>19</v>
      </c>
      <c r="C36" s="98">
        <f t="shared" si="0"/>
        <v>5.20309817757895</v>
      </c>
      <c r="D36" s="98">
        <f t="shared" si="1"/>
        <v>1.21249200996171</v>
      </c>
      <c r="E36" s="100">
        <f t="shared" si="2"/>
        <v>6.41559018754065</v>
      </c>
      <c r="H36" s="36">
        <v>19</v>
      </c>
      <c r="I36" s="36">
        <f t="shared" si="3"/>
        <v>5.20309817757895</v>
      </c>
      <c r="J36" s="36">
        <f t="shared" si="4"/>
        <v>1.21249200996171</v>
      </c>
      <c r="K36" s="36">
        <f t="shared" si="5"/>
        <v>6.41559018754065</v>
      </c>
      <c r="M36" s="96">
        <v>19</v>
      </c>
      <c r="N36" s="98">
        <f t="shared" si="6"/>
        <v>5.53083333333333</v>
      </c>
      <c r="O36" s="98">
        <f t="shared" si="8"/>
        <v>1.161475</v>
      </c>
      <c r="P36" s="100">
        <f t="shared" si="7"/>
        <v>6.69230833333333</v>
      </c>
      <c r="Q36" s="100">
        <f t="shared" si="9"/>
        <v>226.764166666667</v>
      </c>
    </row>
    <row r="37" customHeight="1" spans="2:17">
      <c r="B37" s="96">
        <v>20</v>
      </c>
      <c r="C37" s="98">
        <f t="shared" si="0"/>
        <v>5.22911366846684</v>
      </c>
      <c r="D37" s="98">
        <f t="shared" si="1"/>
        <v>1.18647651907381</v>
      </c>
      <c r="E37" s="100">
        <f t="shared" si="2"/>
        <v>6.41559018754065</v>
      </c>
      <c r="H37" s="36">
        <v>20</v>
      </c>
      <c r="I37" s="36">
        <f t="shared" si="3"/>
        <v>5.22911366846684</v>
      </c>
      <c r="J37" s="36">
        <f t="shared" si="4"/>
        <v>1.18647651907381</v>
      </c>
      <c r="K37" s="36">
        <f t="shared" si="5"/>
        <v>6.41559018754065</v>
      </c>
      <c r="M37" s="96">
        <v>20</v>
      </c>
      <c r="N37" s="98">
        <f t="shared" si="6"/>
        <v>5.53083333333333</v>
      </c>
      <c r="O37" s="98">
        <f t="shared" si="8"/>
        <v>1.13382083333334</v>
      </c>
      <c r="P37" s="100">
        <f t="shared" si="7"/>
        <v>6.66465416666667</v>
      </c>
      <c r="Q37" s="100">
        <f t="shared" si="9"/>
        <v>221.233333333334</v>
      </c>
    </row>
    <row r="38" customHeight="1" spans="2:17">
      <c r="B38" s="96">
        <v>21</v>
      </c>
      <c r="C38" s="98">
        <f t="shared" si="0"/>
        <v>5.25525923680917</v>
      </c>
      <c r="D38" s="98">
        <f t="shared" si="1"/>
        <v>1.16033095073148</v>
      </c>
      <c r="E38" s="100">
        <f t="shared" si="2"/>
        <v>6.41559018754065</v>
      </c>
      <c r="H38" s="36">
        <v>21</v>
      </c>
      <c r="I38" s="36">
        <f t="shared" si="3"/>
        <v>5.25525923680917</v>
      </c>
      <c r="J38" s="36">
        <f t="shared" si="4"/>
        <v>1.16033095073148</v>
      </c>
      <c r="K38" s="36">
        <f t="shared" si="5"/>
        <v>6.41559018754065</v>
      </c>
      <c r="M38" s="96">
        <v>21</v>
      </c>
      <c r="N38" s="98">
        <f t="shared" si="6"/>
        <v>5.53083333333333</v>
      </c>
      <c r="O38" s="98">
        <f t="shared" si="8"/>
        <v>1.10616666666667</v>
      </c>
      <c r="P38" s="100">
        <f t="shared" si="7"/>
        <v>6.637</v>
      </c>
      <c r="Q38" s="100">
        <f t="shared" si="9"/>
        <v>215.7025</v>
      </c>
    </row>
    <row r="39" customHeight="1" spans="2:17">
      <c r="B39" s="96">
        <v>22</v>
      </c>
      <c r="C39" s="98">
        <f t="shared" si="0"/>
        <v>5.28153553299322</v>
      </c>
      <c r="D39" s="98">
        <f t="shared" si="1"/>
        <v>1.13405465454743</v>
      </c>
      <c r="E39" s="100">
        <f t="shared" si="2"/>
        <v>6.41559018754065</v>
      </c>
      <c r="H39" s="36">
        <v>22</v>
      </c>
      <c r="I39" s="36">
        <f t="shared" si="3"/>
        <v>5.28153553299322</v>
      </c>
      <c r="J39" s="36">
        <f t="shared" si="4"/>
        <v>1.13405465454743</v>
      </c>
      <c r="K39" s="36">
        <f t="shared" si="5"/>
        <v>6.41559018754065</v>
      </c>
      <c r="M39" s="96">
        <v>22</v>
      </c>
      <c r="N39" s="98">
        <f t="shared" si="6"/>
        <v>5.53083333333333</v>
      </c>
      <c r="O39" s="98">
        <f t="shared" si="8"/>
        <v>1.0785125</v>
      </c>
      <c r="P39" s="100">
        <f t="shared" si="7"/>
        <v>6.60934583333333</v>
      </c>
      <c r="Q39" s="100">
        <f t="shared" si="9"/>
        <v>210.171666666667</v>
      </c>
    </row>
    <row r="40" customHeight="1" spans="2:17">
      <c r="B40" s="96">
        <v>23</v>
      </c>
      <c r="C40" s="98">
        <f t="shared" si="0"/>
        <v>5.30794321065818</v>
      </c>
      <c r="D40" s="98">
        <f t="shared" si="1"/>
        <v>1.10764697688247</v>
      </c>
      <c r="E40" s="100">
        <f t="shared" si="2"/>
        <v>6.41559018754065</v>
      </c>
      <c r="H40" s="36">
        <v>23</v>
      </c>
      <c r="I40" s="36">
        <f t="shared" si="3"/>
        <v>5.30794321065818</v>
      </c>
      <c r="J40" s="36">
        <f t="shared" si="4"/>
        <v>1.10764697688247</v>
      </c>
      <c r="K40" s="36">
        <f t="shared" si="5"/>
        <v>6.41559018754065</v>
      </c>
      <c r="M40" s="96">
        <v>23</v>
      </c>
      <c r="N40" s="98">
        <f t="shared" si="6"/>
        <v>5.53083333333333</v>
      </c>
      <c r="O40" s="98">
        <f t="shared" si="8"/>
        <v>1.05085833333334</v>
      </c>
      <c r="P40" s="100">
        <f t="shared" si="7"/>
        <v>6.58169166666667</v>
      </c>
      <c r="Q40" s="100">
        <f t="shared" si="9"/>
        <v>204.640833333334</v>
      </c>
    </row>
    <row r="41" customHeight="1" spans="2:17">
      <c r="B41" s="96">
        <v>24</v>
      </c>
      <c r="C41" s="98">
        <f t="shared" si="0"/>
        <v>5.33448292671148</v>
      </c>
      <c r="D41" s="98">
        <f t="shared" si="1"/>
        <v>1.08110726082918</v>
      </c>
      <c r="E41" s="100">
        <f t="shared" si="2"/>
        <v>6.41559018754065</v>
      </c>
      <c r="H41" s="36">
        <v>24</v>
      </c>
      <c r="I41" s="36">
        <f t="shared" si="3"/>
        <v>5.33448292671148</v>
      </c>
      <c r="J41" s="36">
        <f t="shared" si="4"/>
        <v>1.08110726082918</v>
      </c>
      <c r="K41" s="36">
        <f t="shared" si="5"/>
        <v>6.41559018754065</v>
      </c>
      <c r="M41" s="96">
        <v>24</v>
      </c>
      <c r="N41" s="98">
        <f t="shared" si="6"/>
        <v>5.53083333333333</v>
      </c>
      <c r="O41" s="98">
        <f t="shared" si="8"/>
        <v>1.02320416666667</v>
      </c>
      <c r="P41" s="100">
        <f t="shared" si="7"/>
        <v>6.5540375</v>
      </c>
      <c r="Q41" s="100">
        <f t="shared" si="9"/>
        <v>199.11</v>
      </c>
    </row>
    <row r="42" customHeight="1" spans="2:17">
      <c r="B42" s="96">
        <v>25</v>
      </c>
      <c r="C42" s="98">
        <f t="shared" si="0"/>
        <v>5.36115534134503</v>
      </c>
      <c r="D42" s="98">
        <f t="shared" si="1"/>
        <v>1.05443484619562</v>
      </c>
      <c r="E42" s="100">
        <f t="shared" si="2"/>
        <v>6.41559018754065</v>
      </c>
      <c r="H42" s="36">
        <v>25</v>
      </c>
      <c r="I42" s="36">
        <f t="shared" si="3"/>
        <v>5.36115534134503</v>
      </c>
      <c r="J42" s="36">
        <f t="shared" si="4"/>
        <v>1.05443484619562</v>
      </c>
      <c r="K42" s="36">
        <f t="shared" si="5"/>
        <v>6.41559018754065</v>
      </c>
      <c r="M42" s="96">
        <v>25</v>
      </c>
      <c r="N42" s="98">
        <f t="shared" si="6"/>
        <v>5.53083333333333</v>
      </c>
      <c r="O42" s="98">
        <f t="shared" si="8"/>
        <v>0.995550000000002</v>
      </c>
      <c r="P42" s="100">
        <f t="shared" si="7"/>
        <v>6.52638333333333</v>
      </c>
      <c r="Q42" s="100">
        <f t="shared" si="9"/>
        <v>193.579166666667</v>
      </c>
    </row>
    <row r="43" customHeight="1" spans="2:17">
      <c r="B43" s="96">
        <v>26</v>
      </c>
      <c r="C43" s="98">
        <f t="shared" si="0"/>
        <v>5.38796111805176</v>
      </c>
      <c r="D43" s="98">
        <f t="shared" si="1"/>
        <v>1.02762906948889</v>
      </c>
      <c r="E43" s="100">
        <f t="shared" si="2"/>
        <v>6.41559018754065</v>
      </c>
      <c r="H43" s="36">
        <v>26</v>
      </c>
      <c r="I43" s="36">
        <f t="shared" si="3"/>
        <v>5.38796111805176</v>
      </c>
      <c r="J43" s="36">
        <f t="shared" si="4"/>
        <v>1.02762906948889</v>
      </c>
      <c r="K43" s="36">
        <f t="shared" si="5"/>
        <v>6.41559018754065</v>
      </c>
      <c r="M43" s="96">
        <v>26</v>
      </c>
      <c r="N43" s="98">
        <f t="shared" si="6"/>
        <v>5.53083333333333</v>
      </c>
      <c r="O43" s="98">
        <f t="shared" si="8"/>
        <v>0.967895833333335</v>
      </c>
      <c r="P43" s="100">
        <f t="shared" si="7"/>
        <v>6.49872916666667</v>
      </c>
      <c r="Q43" s="100">
        <f t="shared" si="9"/>
        <v>188.048333333334</v>
      </c>
    </row>
    <row r="44" customHeight="1" spans="2:17">
      <c r="B44" s="96">
        <v>27</v>
      </c>
      <c r="C44" s="98">
        <f t="shared" si="0"/>
        <v>5.41490092364202</v>
      </c>
      <c r="D44" s="98">
        <f t="shared" si="1"/>
        <v>1.00068926389864</v>
      </c>
      <c r="E44" s="100">
        <f t="shared" si="2"/>
        <v>6.41559018754065</v>
      </c>
      <c r="H44" s="36">
        <v>27</v>
      </c>
      <c r="I44" s="36">
        <f t="shared" si="3"/>
        <v>5.41490092364202</v>
      </c>
      <c r="J44" s="36">
        <f t="shared" si="4"/>
        <v>1.00068926389864</v>
      </c>
      <c r="K44" s="36">
        <f t="shared" si="5"/>
        <v>6.41559018754065</v>
      </c>
      <c r="M44" s="96">
        <v>27</v>
      </c>
      <c r="N44" s="98">
        <f t="shared" si="6"/>
        <v>5.53083333333333</v>
      </c>
      <c r="O44" s="98">
        <f t="shared" si="8"/>
        <v>0.940241666666668</v>
      </c>
      <c r="P44" s="100">
        <f t="shared" si="7"/>
        <v>6.471075</v>
      </c>
      <c r="Q44" s="100">
        <f t="shared" si="9"/>
        <v>182.5175</v>
      </c>
    </row>
    <row r="45" customHeight="1" spans="2:17">
      <c r="B45" s="96">
        <v>28</v>
      </c>
      <c r="C45" s="98">
        <f t="shared" si="0"/>
        <v>5.44197542826023</v>
      </c>
      <c r="D45" s="98">
        <f t="shared" si="1"/>
        <v>0.973614759280426</v>
      </c>
      <c r="E45" s="100">
        <f t="shared" si="2"/>
        <v>6.41559018754065</v>
      </c>
      <c r="H45" s="36">
        <v>28</v>
      </c>
      <c r="I45" s="36">
        <f t="shared" si="3"/>
        <v>5.44197542826023</v>
      </c>
      <c r="J45" s="36">
        <f t="shared" si="4"/>
        <v>0.973614759280426</v>
      </c>
      <c r="K45" s="36">
        <f t="shared" si="5"/>
        <v>6.41559018754065</v>
      </c>
      <c r="M45" s="96">
        <v>28</v>
      </c>
      <c r="N45" s="98">
        <f t="shared" si="6"/>
        <v>5.53083333333333</v>
      </c>
      <c r="O45" s="98">
        <f t="shared" si="8"/>
        <v>0.912587500000002</v>
      </c>
      <c r="P45" s="100">
        <f t="shared" si="7"/>
        <v>6.44342083333333</v>
      </c>
      <c r="Q45" s="100">
        <f t="shared" si="9"/>
        <v>176.986666666667</v>
      </c>
    </row>
    <row r="46" customHeight="1" spans="2:17">
      <c r="B46" s="96">
        <v>29</v>
      </c>
      <c r="C46" s="98">
        <f t="shared" si="0"/>
        <v>5.46918530540153</v>
      </c>
      <c r="D46" s="98">
        <f t="shared" si="1"/>
        <v>0.946404882139124</v>
      </c>
      <c r="E46" s="100">
        <f t="shared" si="2"/>
        <v>6.41559018754065</v>
      </c>
      <c r="H46" s="36">
        <v>29</v>
      </c>
      <c r="I46" s="36">
        <f t="shared" si="3"/>
        <v>5.46918530540153</v>
      </c>
      <c r="J46" s="36">
        <f t="shared" si="4"/>
        <v>0.946404882139124</v>
      </c>
      <c r="K46" s="36">
        <f t="shared" si="5"/>
        <v>6.41559018754065</v>
      </c>
      <c r="M46" s="96">
        <v>29</v>
      </c>
      <c r="N46" s="98">
        <f t="shared" si="6"/>
        <v>5.53083333333333</v>
      </c>
      <c r="O46" s="98">
        <f t="shared" si="8"/>
        <v>0.884933333333335</v>
      </c>
      <c r="P46" s="100">
        <f t="shared" si="7"/>
        <v>6.41576666666667</v>
      </c>
      <c r="Q46" s="100">
        <f t="shared" si="9"/>
        <v>171.455833333334</v>
      </c>
    </row>
    <row r="47" customHeight="1" spans="2:17">
      <c r="B47" s="96">
        <v>30</v>
      </c>
      <c r="C47" s="98">
        <f t="shared" si="0"/>
        <v>5.49653123192854</v>
      </c>
      <c r="D47" s="98">
        <f t="shared" si="1"/>
        <v>0.919058955612117</v>
      </c>
      <c r="E47" s="100">
        <f t="shared" si="2"/>
        <v>6.41559018754065</v>
      </c>
      <c r="H47" s="36">
        <v>30</v>
      </c>
      <c r="I47" s="36">
        <f t="shared" si="3"/>
        <v>5.49653123192854</v>
      </c>
      <c r="J47" s="36">
        <f t="shared" si="4"/>
        <v>0.919058955612117</v>
      </c>
      <c r="K47" s="36">
        <f t="shared" si="5"/>
        <v>6.41559018754065</v>
      </c>
      <c r="M47" s="96">
        <v>30</v>
      </c>
      <c r="N47" s="98">
        <f t="shared" si="6"/>
        <v>5.53083333333333</v>
      </c>
      <c r="O47" s="98">
        <f t="shared" si="8"/>
        <v>0.857279166666668</v>
      </c>
      <c r="P47" s="100">
        <f t="shared" si="7"/>
        <v>6.3881125</v>
      </c>
      <c r="Q47" s="100">
        <f t="shared" si="9"/>
        <v>165.925</v>
      </c>
    </row>
    <row r="48" customHeight="1" spans="2:17">
      <c r="B48" s="96">
        <v>31</v>
      </c>
      <c r="C48" s="98">
        <f t="shared" si="0"/>
        <v>5.52401388808818</v>
      </c>
      <c r="D48" s="98">
        <f t="shared" si="1"/>
        <v>0.891576299452473</v>
      </c>
      <c r="E48" s="100">
        <f t="shared" si="2"/>
        <v>6.41559018754065</v>
      </c>
      <c r="H48" s="36">
        <v>31</v>
      </c>
      <c r="I48" s="36">
        <f t="shared" si="3"/>
        <v>5.52401388808818</v>
      </c>
      <c r="J48" s="36">
        <f t="shared" si="4"/>
        <v>0.891576299452473</v>
      </c>
      <c r="K48" s="36">
        <f t="shared" si="5"/>
        <v>6.41559018754065</v>
      </c>
      <c r="M48" s="96">
        <v>31</v>
      </c>
      <c r="N48" s="98">
        <f t="shared" si="6"/>
        <v>5.53083333333333</v>
      </c>
      <c r="O48" s="98">
        <f t="shared" si="8"/>
        <v>0.829625000000002</v>
      </c>
      <c r="P48" s="100">
        <f t="shared" si="7"/>
        <v>6.36045833333333</v>
      </c>
      <c r="Q48" s="100">
        <f t="shared" si="9"/>
        <v>160.394166666667</v>
      </c>
    </row>
    <row r="49" customHeight="1" spans="2:17">
      <c r="B49" s="96">
        <v>32</v>
      </c>
      <c r="C49" s="98">
        <f t="shared" si="0"/>
        <v>5.55163395752862</v>
      </c>
      <c r="D49" s="98">
        <f t="shared" si="1"/>
        <v>0.863956230012032</v>
      </c>
      <c r="E49" s="100">
        <f t="shared" si="2"/>
        <v>6.41559018754065</v>
      </c>
      <c r="H49" s="36">
        <v>32</v>
      </c>
      <c r="I49" s="36">
        <f t="shared" si="3"/>
        <v>5.55163395752862</v>
      </c>
      <c r="J49" s="36">
        <f t="shared" si="4"/>
        <v>0.863956230012032</v>
      </c>
      <c r="K49" s="36">
        <f t="shared" si="5"/>
        <v>6.41559018754065</v>
      </c>
      <c r="M49" s="96">
        <v>32</v>
      </c>
      <c r="N49" s="98">
        <f t="shared" si="6"/>
        <v>5.53083333333333</v>
      </c>
      <c r="O49" s="98">
        <f t="shared" si="8"/>
        <v>0.801970833333335</v>
      </c>
      <c r="P49" s="100">
        <f t="shared" si="7"/>
        <v>6.33280416666667</v>
      </c>
      <c r="Q49" s="100">
        <f t="shared" si="9"/>
        <v>154.863333333334</v>
      </c>
    </row>
    <row r="50" customHeight="1" spans="2:17">
      <c r="B50" s="96">
        <v>33</v>
      </c>
      <c r="C50" s="98">
        <f t="shared" ref="C50:C81" si="10">IF(B50&lt;$F$6,0,IF(B50&gt;$G$15,0,I50))</f>
        <v>5.57939212731626</v>
      </c>
      <c r="D50" s="98">
        <f t="shared" ref="D50:D81" si="11">IF(B50&lt;=$F$6,PRODUCT($E$15,$C$15),J50)</f>
        <v>0.83619806022439</v>
      </c>
      <c r="E50" s="100">
        <f t="shared" ref="E50:E81" si="12">C50+D50</f>
        <v>6.41559018754065</v>
      </c>
      <c r="H50" s="36">
        <v>33</v>
      </c>
      <c r="I50" s="36">
        <f t="shared" ref="I50:I81" si="13">IF(B50&lt;=$F$6,0,IF(B50&gt;$G$15,0,PPMT($C$15,B50-$F$6,$K$15,-$E$15)))</f>
        <v>5.57939212731626</v>
      </c>
      <c r="J50" s="36">
        <f t="shared" ref="J50:J81" si="14">IF(B50&lt;=$F$6,0,IF(B50&gt;$G$15,0,IF(I50=0,PRODUCT($E$15,$C$15),K50-I50)))</f>
        <v>0.83619806022439</v>
      </c>
      <c r="K50" s="36">
        <f t="shared" ref="K50:K81" si="15">IF(B50&lt;=$F$6,0,IF(B50&gt;$G$15,0,PMT($C$15,$K$15,-$E$15)))</f>
        <v>6.41559018754065</v>
      </c>
      <c r="M50" s="96">
        <v>33</v>
      </c>
      <c r="N50" s="98">
        <f t="shared" ref="N50:N81" si="16">IF(M50&gt;$G$15,0,$P$15/$R$15)</f>
        <v>5.53083333333333</v>
      </c>
      <c r="O50" s="98">
        <f t="shared" si="8"/>
        <v>0.774316666666668</v>
      </c>
      <c r="P50" s="100">
        <f t="shared" ref="P50:P81" si="17">N50+O50</f>
        <v>6.30515</v>
      </c>
      <c r="Q50" s="100">
        <f t="shared" si="9"/>
        <v>149.3325</v>
      </c>
    </row>
    <row r="51" customHeight="1" spans="2:17">
      <c r="B51" s="96">
        <v>34</v>
      </c>
      <c r="C51" s="98">
        <f t="shared" si="10"/>
        <v>5.60728908795284</v>
      </c>
      <c r="D51" s="98">
        <f t="shared" si="11"/>
        <v>0.808301099587809</v>
      </c>
      <c r="E51" s="100">
        <f t="shared" si="12"/>
        <v>6.41559018754065</v>
      </c>
      <c r="H51" s="36">
        <v>34</v>
      </c>
      <c r="I51" s="36">
        <f t="shared" si="13"/>
        <v>5.60728908795284</v>
      </c>
      <c r="J51" s="36">
        <f t="shared" si="14"/>
        <v>0.808301099587809</v>
      </c>
      <c r="K51" s="36">
        <f t="shared" si="15"/>
        <v>6.41559018754065</v>
      </c>
      <c r="M51" s="96">
        <v>34</v>
      </c>
      <c r="N51" s="98">
        <f t="shared" si="16"/>
        <v>5.53083333333333</v>
      </c>
      <c r="O51" s="98">
        <f t="shared" ref="O51:O82" si="18">IF(M51&gt;$G$15,0,Q50*$N$15)</f>
        <v>0.746662500000002</v>
      </c>
      <c r="P51" s="100">
        <f t="shared" si="17"/>
        <v>6.27749583333333</v>
      </c>
      <c r="Q51" s="100">
        <f t="shared" ref="Q51:Q82" si="19">Q50-N51</f>
        <v>143.801666666667</v>
      </c>
    </row>
    <row r="52" customHeight="1" spans="2:17">
      <c r="B52" s="96">
        <v>35</v>
      </c>
      <c r="C52" s="98">
        <f t="shared" si="10"/>
        <v>5.63532553339261</v>
      </c>
      <c r="D52" s="98">
        <f t="shared" si="11"/>
        <v>0.780264654148044</v>
      </c>
      <c r="E52" s="100">
        <f t="shared" si="12"/>
        <v>6.41559018754065</v>
      </c>
      <c r="H52" s="36">
        <v>35</v>
      </c>
      <c r="I52" s="36">
        <f t="shared" si="13"/>
        <v>5.63532553339261</v>
      </c>
      <c r="J52" s="36">
        <f t="shared" si="14"/>
        <v>0.780264654148044</v>
      </c>
      <c r="K52" s="36">
        <f t="shared" si="15"/>
        <v>6.41559018754065</v>
      </c>
      <c r="M52" s="96">
        <v>35</v>
      </c>
      <c r="N52" s="98">
        <f t="shared" si="16"/>
        <v>5.53083333333333</v>
      </c>
      <c r="O52" s="98">
        <f t="shared" si="18"/>
        <v>0.719008333333335</v>
      </c>
      <c r="P52" s="100">
        <f t="shared" si="17"/>
        <v>6.24984166666667</v>
      </c>
      <c r="Q52" s="100">
        <f t="shared" si="19"/>
        <v>138.270833333334</v>
      </c>
    </row>
    <row r="53" customHeight="1" spans="2:17">
      <c r="B53" s="96">
        <v>36</v>
      </c>
      <c r="C53" s="98">
        <f t="shared" si="10"/>
        <v>5.66350216105957</v>
      </c>
      <c r="D53" s="98">
        <f t="shared" si="11"/>
        <v>0.752088026481081</v>
      </c>
      <c r="E53" s="100">
        <f t="shared" si="12"/>
        <v>6.41559018754065</v>
      </c>
      <c r="H53" s="36">
        <v>36</v>
      </c>
      <c r="I53" s="36">
        <f t="shared" si="13"/>
        <v>5.66350216105957</v>
      </c>
      <c r="J53" s="36">
        <f t="shared" si="14"/>
        <v>0.752088026481081</v>
      </c>
      <c r="K53" s="36">
        <f t="shared" si="15"/>
        <v>6.41559018754065</v>
      </c>
      <c r="M53" s="96">
        <v>36</v>
      </c>
      <c r="N53" s="98">
        <f t="shared" si="16"/>
        <v>5.53083333333333</v>
      </c>
      <c r="O53" s="98">
        <f t="shared" si="18"/>
        <v>0.691354166666668</v>
      </c>
      <c r="P53" s="100">
        <f t="shared" si="17"/>
        <v>6.2221875</v>
      </c>
      <c r="Q53" s="100">
        <f t="shared" si="19"/>
        <v>132.74</v>
      </c>
    </row>
    <row r="54" customHeight="1" spans="2:17">
      <c r="B54" s="96">
        <v>37</v>
      </c>
      <c r="C54" s="98">
        <f t="shared" si="10"/>
        <v>5.69181967186487</v>
      </c>
      <c r="D54" s="98">
        <f t="shared" si="11"/>
        <v>0.723770515675783</v>
      </c>
      <c r="E54" s="100">
        <f t="shared" si="12"/>
        <v>6.41559018754065</v>
      </c>
      <c r="H54" s="36">
        <v>37</v>
      </c>
      <c r="I54" s="36">
        <f t="shared" si="13"/>
        <v>5.69181967186487</v>
      </c>
      <c r="J54" s="36">
        <f t="shared" si="14"/>
        <v>0.723770515675783</v>
      </c>
      <c r="K54" s="36">
        <f t="shared" si="15"/>
        <v>6.41559018754065</v>
      </c>
      <c r="M54" s="96">
        <v>37</v>
      </c>
      <c r="N54" s="98">
        <f t="shared" si="16"/>
        <v>5.53083333333333</v>
      </c>
      <c r="O54" s="98">
        <f t="shared" si="18"/>
        <v>0.663700000000002</v>
      </c>
      <c r="P54" s="100">
        <f t="shared" si="17"/>
        <v>6.19453333333333</v>
      </c>
      <c r="Q54" s="100">
        <f t="shared" si="19"/>
        <v>127.209166666667</v>
      </c>
    </row>
    <row r="55" customHeight="1" spans="2:17">
      <c r="B55" s="96">
        <v>38</v>
      </c>
      <c r="C55" s="98">
        <f t="shared" si="10"/>
        <v>5.72027877022419</v>
      </c>
      <c r="D55" s="98">
        <f t="shared" si="11"/>
        <v>0.695311417316459</v>
      </c>
      <c r="E55" s="100">
        <f t="shared" si="12"/>
        <v>6.41559018754065</v>
      </c>
      <c r="H55" s="36">
        <v>38</v>
      </c>
      <c r="I55" s="36">
        <f t="shared" si="13"/>
        <v>5.72027877022419</v>
      </c>
      <c r="J55" s="36">
        <f t="shared" si="14"/>
        <v>0.695311417316459</v>
      </c>
      <c r="K55" s="36">
        <f t="shared" si="15"/>
        <v>6.41559018754065</v>
      </c>
      <c r="M55" s="96">
        <v>38</v>
      </c>
      <c r="N55" s="98">
        <f t="shared" si="16"/>
        <v>5.53083333333333</v>
      </c>
      <c r="O55" s="98">
        <f t="shared" si="18"/>
        <v>0.636045833333335</v>
      </c>
      <c r="P55" s="100">
        <f t="shared" si="17"/>
        <v>6.16687916666667</v>
      </c>
      <c r="Q55" s="100">
        <f t="shared" si="19"/>
        <v>121.678333333334</v>
      </c>
    </row>
    <row r="56" customHeight="1" spans="2:17">
      <c r="B56" s="96">
        <v>39</v>
      </c>
      <c r="C56" s="98">
        <f t="shared" si="10"/>
        <v>5.74888016407531</v>
      </c>
      <c r="D56" s="98">
        <f t="shared" si="11"/>
        <v>0.666710023465338</v>
      </c>
      <c r="E56" s="100">
        <f t="shared" si="12"/>
        <v>6.41559018754065</v>
      </c>
      <c r="H56" s="36">
        <v>39</v>
      </c>
      <c r="I56" s="36">
        <f t="shared" si="13"/>
        <v>5.74888016407531</v>
      </c>
      <c r="J56" s="36">
        <f t="shared" si="14"/>
        <v>0.666710023465338</v>
      </c>
      <c r="K56" s="36">
        <f t="shared" si="15"/>
        <v>6.41559018754065</v>
      </c>
      <c r="M56" s="96">
        <v>39</v>
      </c>
      <c r="N56" s="98">
        <f t="shared" si="16"/>
        <v>5.53083333333333</v>
      </c>
      <c r="O56" s="98">
        <f t="shared" si="18"/>
        <v>0.608391666666668</v>
      </c>
      <c r="P56" s="100">
        <f t="shared" si="17"/>
        <v>6.139225</v>
      </c>
      <c r="Q56" s="100">
        <f t="shared" si="19"/>
        <v>116.1475</v>
      </c>
    </row>
    <row r="57" customHeight="1" spans="2:17">
      <c r="B57" s="96">
        <v>40</v>
      </c>
      <c r="C57" s="98">
        <f t="shared" si="10"/>
        <v>5.77762456489569</v>
      </c>
      <c r="D57" s="98">
        <f t="shared" si="11"/>
        <v>0.637965622644962</v>
      </c>
      <c r="E57" s="100">
        <f t="shared" si="12"/>
        <v>6.41559018754065</v>
      </c>
      <c r="H57" s="36">
        <v>40</v>
      </c>
      <c r="I57" s="36">
        <f t="shared" si="13"/>
        <v>5.77762456489569</v>
      </c>
      <c r="J57" s="36">
        <f t="shared" si="14"/>
        <v>0.637965622644962</v>
      </c>
      <c r="K57" s="36">
        <f t="shared" si="15"/>
        <v>6.41559018754065</v>
      </c>
      <c r="M57" s="96">
        <v>40</v>
      </c>
      <c r="N57" s="98">
        <f t="shared" si="16"/>
        <v>5.53083333333333</v>
      </c>
      <c r="O57" s="98">
        <f t="shared" si="18"/>
        <v>0.580737500000002</v>
      </c>
      <c r="P57" s="100">
        <f t="shared" si="17"/>
        <v>6.11157083333333</v>
      </c>
      <c r="Q57" s="100">
        <f t="shared" si="19"/>
        <v>110.616666666667</v>
      </c>
    </row>
    <row r="58" customHeight="1" spans="2:17">
      <c r="B58" s="96">
        <v>41</v>
      </c>
      <c r="C58" s="98">
        <f t="shared" si="10"/>
        <v>5.80651268772017</v>
      </c>
      <c r="D58" s="98">
        <f t="shared" si="11"/>
        <v>0.609077499820483</v>
      </c>
      <c r="E58" s="100">
        <f t="shared" si="12"/>
        <v>6.41559018754065</v>
      </c>
      <c r="H58" s="36">
        <v>41</v>
      </c>
      <c r="I58" s="36">
        <f t="shared" si="13"/>
        <v>5.80651268772017</v>
      </c>
      <c r="J58" s="36">
        <f t="shared" si="14"/>
        <v>0.609077499820483</v>
      </c>
      <c r="K58" s="36">
        <f t="shared" si="15"/>
        <v>6.41559018754065</v>
      </c>
      <c r="M58" s="96">
        <v>41</v>
      </c>
      <c r="N58" s="98">
        <f t="shared" si="16"/>
        <v>5.53083333333333</v>
      </c>
      <c r="O58" s="98">
        <f t="shared" si="18"/>
        <v>0.553083333333335</v>
      </c>
      <c r="P58" s="100">
        <f t="shared" si="17"/>
        <v>6.08391666666667</v>
      </c>
      <c r="Q58" s="100">
        <f t="shared" si="19"/>
        <v>105.085833333334</v>
      </c>
    </row>
    <row r="59" customHeight="1" spans="2:17">
      <c r="B59" s="96">
        <v>42</v>
      </c>
      <c r="C59" s="98">
        <f t="shared" si="10"/>
        <v>5.83554525115877</v>
      </c>
      <c r="D59" s="98">
        <f t="shared" si="11"/>
        <v>0.580044936381883</v>
      </c>
      <c r="E59" s="100">
        <f t="shared" si="12"/>
        <v>6.41559018754065</v>
      </c>
      <c r="H59" s="36">
        <v>42</v>
      </c>
      <c r="I59" s="36">
        <f t="shared" si="13"/>
        <v>5.83554525115877</v>
      </c>
      <c r="J59" s="36">
        <f t="shared" si="14"/>
        <v>0.580044936381883</v>
      </c>
      <c r="K59" s="36">
        <f t="shared" si="15"/>
        <v>6.41559018754065</v>
      </c>
      <c r="M59" s="96">
        <v>42</v>
      </c>
      <c r="N59" s="98">
        <f t="shared" si="16"/>
        <v>5.53083333333333</v>
      </c>
      <c r="O59" s="98">
        <f t="shared" si="18"/>
        <v>0.525429166666668</v>
      </c>
      <c r="P59" s="100">
        <f t="shared" si="17"/>
        <v>6.0562625</v>
      </c>
      <c r="Q59" s="100">
        <f t="shared" si="19"/>
        <v>99.5550000000003</v>
      </c>
    </row>
    <row r="60" customHeight="1" spans="2:17">
      <c r="B60" s="96">
        <v>43</v>
      </c>
      <c r="C60" s="98">
        <f t="shared" si="10"/>
        <v>5.86472297741456</v>
      </c>
      <c r="D60" s="98">
        <f t="shared" si="11"/>
        <v>0.550867210126088</v>
      </c>
      <c r="E60" s="100">
        <f t="shared" si="12"/>
        <v>6.41559018754065</v>
      </c>
      <c r="H60" s="36">
        <v>43</v>
      </c>
      <c r="I60" s="36">
        <f t="shared" si="13"/>
        <v>5.86472297741456</v>
      </c>
      <c r="J60" s="36">
        <f t="shared" si="14"/>
        <v>0.550867210126088</v>
      </c>
      <c r="K60" s="36">
        <f t="shared" si="15"/>
        <v>6.41559018754065</v>
      </c>
      <c r="M60" s="96">
        <v>43</v>
      </c>
      <c r="N60" s="98">
        <f t="shared" si="16"/>
        <v>5.53083333333333</v>
      </c>
      <c r="O60" s="98">
        <f t="shared" si="18"/>
        <v>0.497775000000002</v>
      </c>
      <c r="P60" s="100">
        <f t="shared" si="17"/>
        <v>6.02860833333333</v>
      </c>
      <c r="Q60" s="100">
        <f t="shared" si="19"/>
        <v>94.024166666667</v>
      </c>
    </row>
    <row r="61" customHeight="1" spans="2:17">
      <c r="B61" s="96">
        <v>44</v>
      </c>
      <c r="C61" s="98">
        <f t="shared" si="10"/>
        <v>5.89404659230164</v>
      </c>
      <c r="D61" s="98">
        <f t="shared" si="11"/>
        <v>0.521543595239016</v>
      </c>
      <c r="E61" s="100">
        <f t="shared" si="12"/>
        <v>6.41559018754065</v>
      </c>
      <c r="H61" s="36">
        <v>44</v>
      </c>
      <c r="I61" s="36">
        <f t="shared" si="13"/>
        <v>5.89404659230164</v>
      </c>
      <c r="J61" s="36">
        <f t="shared" si="14"/>
        <v>0.521543595239016</v>
      </c>
      <c r="K61" s="36">
        <f t="shared" si="15"/>
        <v>6.41559018754065</v>
      </c>
      <c r="M61" s="96">
        <v>44</v>
      </c>
      <c r="N61" s="98">
        <f t="shared" si="16"/>
        <v>5.53083333333333</v>
      </c>
      <c r="O61" s="98">
        <f t="shared" si="18"/>
        <v>0.470120833333335</v>
      </c>
      <c r="P61" s="100">
        <f t="shared" si="17"/>
        <v>6.00095416666667</v>
      </c>
      <c r="Q61" s="100">
        <f t="shared" si="19"/>
        <v>88.4933333333337</v>
      </c>
    </row>
    <row r="62" customHeight="1" spans="2:17">
      <c r="B62" s="96">
        <v>45</v>
      </c>
      <c r="C62" s="98">
        <f t="shared" si="10"/>
        <v>5.92351682526315</v>
      </c>
      <c r="D62" s="98">
        <f t="shared" si="11"/>
        <v>0.492073362277507</v>
      </c>
      <c r="E62" s="100">
        <f t="shared" si="12"/>
        <v>6.41559018754065</v>
      </c>
      <c r="H62" s="36">
        <v>45</v>
      </c>
      <c r="I62" s="36">
        <f t="shared" si="13"/>
        <v>5.92351682526315</v>
      </c>
      <c r="J62" s="36">
        <f t="shared" si="14"/>
        <v>0.492073362277507</v>
      </c>
      <c r="K62" s="36">
        <f t="shared" si="15"/>
        <v>6.41559018754065</v>
      </c>
      <c r="M62" s="96">
        <v>45</v>
      </c>
      <c r="N62" s="98">
        <f t="shared" si="16"/>
        <v>5.53083333333333</v>
      </c>
      <c r="O62" s="98">
        <f t="shared" si="18"/>
        <v>0.442466666666668</v>
      </c>
      <c r="P62" s="100">
        <f t="shared" si="17"/>
        <v>5.9733</v>
      </c>
      <c r="Q62" s="100">
        <f t="shared" si="19"/>
        <v>82.9625000000003</v>
      </c>
    </row>
    <row r="63" customHeight="1" spans="2:17">
      <c r="B63" s="96">
        <v>46</v>
      </c>
      <c r="C63" s="98">
        <f t="shared" si="10"/>
        <v>5.95313440938946</v>
      </c>
      <c r="D63" s="98">
        <f t="shared" si="11"/>
        <v>0.462455778151192</v>
      </c>
      <c r="E63" s="100">
        <f t="shared" si="12"/>
        <v>6.41559018754065</v>
      </c>
      <c r="H63" s="36">
        <v>46</v>
      </c>
      <c r="I63" s="36">
        <f t="shared" si="13"/>
        <v>5.95313440938946</v>
      </c>
      <c r="J63" s="36">
        <f t="shared" si="14"/>
        <v>0.462455778151192</v>
      </c>
      <c r="K63" s="36">
        <f t="shared" si="15"/>
        <v>6.41559018754065</v>
      </c>
      <c r="M63" s="96">
        <v>46</v>
      </c>
      <c r="N63" s="98">
        <f t="shared" si="16"/>
        <v>5.53083333333333</v>
      </c>
      <c r="O63" s="98">
        <f t="shared" si="18"/>
        <v>0.414812500000002</v>
      </c>
      <c r="P63" s="100">
        <f t="shared" si="17"/>
        <v>5.94564583333333</v>
      </c>
      <c r="Q63" s="100">
        <f t="shared" si="19"/>
        <v>77.431666666667</v>
      </c>
    </row>
    <row r="64" customHeight="1" spans="2:17">
      <c r="B64" s="96">
        <v>47</v>
      </c>
      <c r="C64" s="98">
        <f t="shared" si="10"/>
        <v>5.98290008143641</v>
      </c>
      <c r="D64" s="98">
        <f t="shared" si="11"/>
        <v>0.432690106104245</v>
      </c>
      <c r="E64" s="100">
        <f t="shared" si="12"/>
        <v>6.41559018754065</v>
      </c>
      <c r="H64" s="36">
        <v>47</v>
      </c>
      <c r="I64" s="36">
        <f t="shared" si="13"/>
        <v>5.98290008143641</v>
      </c>
      <c r="J64" s="36">
        <f t="shared" si="14"/>
        <v>0.432690106104245</v>
      </c>
      <c r="K64" s="36">
        <f t="shared" si="15"/>
        <v>6.41559018754065</v>
      </c>
      <c r="M64" s="96">
        <v>47</v>
      </c>
      <c r="N64" s="98">
        <f t="shared" si="16"/>
        <v>5.53083333333333</v>
      </c>
      <c r="O64" s="98">
        <f t="shared" si="18"/>
        <v>0.387158333333335</v>
      </c>
      <c r="P64" s="100">
        <f t="shared" si="17"/>
        <v>5.91799166666667</v>
      </c>
      <c r="Q64" s="100">
        <f t="shared" si="19"/>
        <v>71.9008333333337</v>
      </c>
    </row>
    <row r="65" customHeight="1" spans="2:17">
      <c r="B65" s="96">
        <v>48</v>
      </c>
      <c r="C65" s="98">
        <f t="shared" si="10"/>
        <v>6.01281458184359</v>
      </c>
      <c r="D65" s="98">
        <f t="shared" si="11"/>
        <v>0.402775605697062</v>
      </c>
      <c r="E65" s="100">
        <f t="shared" si="12"/>
        <v>6.41559018754065</v>
      </c>
      <c r="H65" s="36">
        <v>48</v>
      </c>
      <c r="I65" s="36">
        <f t="shared" si="13"/>
        <v>6.01281458184359</v>
      </c>
      <c r="J65" s="36">
        <f t="shared" si="14"/>
        <v>0.402775605697062</v>
      </c>
      <c r="K65" s="36">
        <f t="shared" si="15"/>
        <v>6.41559018754065</v>
      </c>
      <c r="M65" s="96">
        <v>48</v>
      </c>
      <c r="N65" s="98">
        <f t="shared" si="16"/>
        <v>5.53083333333333</v>
      </c>
      <c r="O65" s="98">
        <f t="shared" si="18"/>
        <v>0.359504166666668</v>
      </c>
      <c r="P65" s="100">
        <f t="shared" si="17"/>
        <v>5.8903375</v>
      </c>
      <c r="Q65" s="100">
        <f t="shared" si="19"/>
        <v>66.3700000000003</v>
      </c>
    </row>
    <row r="66" customHeight="1" spans="2:17">
      <c r="B66" s="96">
        <v>49</v>
      </c>
      <c r="C66" s="98">
        <f t="shared" si="10"/>
        <v>6.04287865475281</v>
      </c>
      <c r="D66" s="98">
        <f t="shared" si="11"/>
        <v>0.372711532787844</v>
      </c>
      <c r="E66" s="100">
        <f t="shared" si="12"/>
        <v>6.41559018754065</v>
      </c>
      <c r="H66" s="36">
        <v>49</v>
      </c>
      <c r="I66" s="36">
        <f t="shared" si="13"/>
        <v>6.04287865475281</v>
      </c>
      <c r="J66" s="36">
        <f t="shared" si="14"/>
        <v>0.372711532787844</v>
      </c>
      <c r="K66" s="36">
        <f t="shared" si="15"/>
        <v>6.41559018754065</v>
      </c>
      <c r="M66" s="96">
        <v>49</v>
      </c>
      <c r="N66" s="98">
        <f t="shared" si="16"/>
        <v>5.53083333333333</v>
      </c>
      <c r="O66" s="98">
        <f t="shared" si="18"/>
        <v>0.331850000000002</v>
      </c>
      <c r="P66" s="100">
        <f t="shared" si="17"/>
        <v>5.86268333333333</v>
      </c>
      <c r="Q66" s="100">
        <f t="shared" si="19"/>
        <v>60.839166666667</v>
      </c>
    </row>
    <row r="67" customHeight="1" spans="2:17">
      <c r="B67" s="96">
        <v>50</v>
      </c>
      <c r="C67" s="98">
        <f t="shared" si="10"/>
        <v>6.07309304802657</v>
      </c>
      <c r="D67" s="98">
        <f t="shared" si="11"/>
        <v>0.34249713951408</v>
      </c>
      <c r="E67" s="100">
        <f t="shared" si="12"/>
        <v>6.41559018754065</v>
      </c>
      <c r="H67" s="36">
        <v>50</v>
      </c>
      <c r="I67" s="36">
        <f t="shared" si="13"/>
        <v>6.07309304802657</v>
      </c>
      <c r="J67" s="36">
        <f t="shared" si="14"/>
        <v>0.34249713951408</v>
      </c>
      <c r="K67" s="36">
        <f t="shared" si="15"/>
        <v>6.41559018754065</v>
      </c>
      <c r="M67" s="96">
        <v>50</v>
      </c>
      <c r="N67" s="98">
        <f t="shared" si="16"/>
        <v>5.53083333333333</v>
      </c>
      <c r="O67" s="98">
        <f t="shared" si="18"/>
        <v>0.304195833333335</v>
      </c>
      <c r="P67" s="100">
        <f t="shared" si="17"/>
        <v>5.83502916666667</v>
      </c>
      <c r="Q67" s="100">
        <f t="shared" si="19"/>
        <v>55.3083333333336</v>
      </c>
    </row>
    <row r="68" customHeight="1" spans="2:17">
      <c r="B68" s="96">
        <v>51</v>
      </c>
      <c r="C68" s="98">
        <f t="shared" si="10"/>
        <v>6.10345851326671</v>
      </c>
      <c r="D68" s="98">
        <f t="shared" si="11"/>
        <v>0.312131674273948</v>
      </c>
      <c r="E68" s="100">
        <f t="shared" si="12"/>
        <v>6.41559018754065</v>
      </c>
      <c r="H68" s="36">
        <v>51</v>
      </c>
      <c r="I68" s="36">
        <f t="shared" si="13"/>
        <v>6.10345851326671</v>
      </c>
      <c r="J68" s="36">
        <f t="shared" si="14"/>
        <v>0.312131674273948</v>
      </c>
      <c r="K68" s="36">
        <f t="shared" si="15"/>
        <v>6.41559018754065</v>
      </c>
      <c r="M68" s="96">
        <v>51</v>
      </c>
      <c r="N68" s="98">
        <f t="shared" si="16"/>
        <v>5.53083333333333</v>
      </c>
      <c r="O68" s="98">
        <f t="shared" si="18"/>
        <v>0.276541666666668</v>
      </c>
      <c r="P68" s="100">
        <f t="shared" si="17"/>
        <v>5.807375</v>
      </c>
      <c r="Q68" s="100">
        <f t="shared" si="19"/>
        <v>49.7775000000003</v>
      </c>
    </row>
    <row r="69" customHeight="1" spans="2:17">
      <c r="B69" s="96">
        <v>52</v>
      </c>
      <c r="C69" s="98">
        <f t="shared" si="10"/>
        <v>6.13397580583304</v>
      </c>
      <c r="D69" s="98">
        <f t="shared" si="11"/>
        <v>0.281614381707614</v>
      </c>
      <c r="E69" s="100">
        <f t="shared" si="12"/>
        <v>6.41559018754065</v>
      </c>
      <c r="H69" s="36">
        <v>52</v>
      </c>
      <c r="I69" s="36">
        <f t="shared" si="13"/>
        <v>6.13397580583304</v>
      </c>
      <c r="J69" s="36">
        <f t="shared" si="14"/>
        <v>0.281614381707614</v>
      </c>
      <c r="K69" s="36">
        <f t="shared" si="15"/>
        <v>6.41559018754065</v>
      </c>
      <c r="M69" s="96">
        <v>52</v>
      </c>
      <c r="N69" s="98">
        <f t="shared" si="16"/>
        <v>5.53083333333333</v>
      </c>
      <c r="O69" s="98">
        <f t="shared" si="18"/>
        <v>0.248887500000002</v>
      </c>
      <c r="P69" s="100">
        <f t="shared" si="17"/>
        <v>5.77972083333333</v>
      </c>
      <c r="Q69" s="100">
        <f t="shared" si="19"/>
        <v>44.246666666667</v>
      </c>
    </row>
    <row r="70" customHeight="1" spans="2:17">
      <c r="B70" s="96">
        <v>53</v>
      </c>
      <c r="C70" s="98">
        <f t="shared" si="10"/>
        <v>6.1646456848622</v>
      </c>
      <c r="D70" s="98">
        <f t="shared" si="11"/>
        <v>0.250944502678449</v>
      </c>
      <c r="E70" s="100">
        <f t="shared" si="12"/>
        <v>6.41559018754065</v>
      </c>
      <c r="H70" s="36">
        <v>53</v>
      </c>
      <c r="I70" s="36">
        <f t="shared" si="13"/>
        <v>6.1646456848622</v>
      </c>
      <c r="J70" s="36">
        <f t="shared" si="14"/>
        <v>0.250944502678449</v>
      </c>
      <c r="K70" s="36">
        <f t="shared" si="15"/>
        <v>6.41559018754065</v>
      </c>
      <c r="M70" s="96">
        <v>53</v>
      </c>
      <c r="N70" s="98">
        <f t="shared" si="16"/>
        <v>5.53083333333333</v>
      </c>
      <c r="O70" s="98">
        <f t="shared" si="18"/>
        <v>0.221233333333335</v>
      </c>
      <c r="P70" s="100">
        <f t="shared" si="17"/>
        <v>5.75206666666667</v>
      </c>
      <c r="Q70" s="100">
        <f t="shared" si="19"/>
        <v>38.7158333333336</v>
      </c>
    </row>
    <row r="71" customHeight="1" spans="2:17">
      <c r="B71" s="96">
        <v>54</v>
      </c>
      <c r="C71" s="98">
        <f t="shared" si="10"/>
        <v>6.19546891328652</v>
      </c>
      <c r="D71" s="98">
        <f t="shared" si="11"/>
        <v>0.220121274254137</v>
      </c>
      <c r="E71" s="100">
        <f t="shared" si="12"/>
        <v>6.41559018754065</v>
      </c>
      <c r="H71" s="36">
        <v>54</v>
      </c>
      <c r="I71" s="36">
        <f t="shared" si="13"/>
        <v>6.19546891328652</v>
      </c>
      <c r="J71" s="36">
        <f t="shared" si="14"/>
        <v>0.220121274254137</v>
      </c>
      <c r="K71" s="36">
        <f t="shared" si="15"/>
        <v>6.41559018754065</v>
      </c>
      <c r="M71" s="96">
        <v>54</v>
      </c>
      <c r="N71" s="98">
        <f t="shared" si="16"/>
        <v>5.53083333333333</v>
      </c>
      <c r="O71" s="98">
        <f t="shared" si="18"/>
        <v>0.193579166666668</v>
      </c>
      <c r="P71" s="100">
        <f t="shared" si="17"/>
        <v>5.7244125</v>
      </c>
      <c r="Q71" s="100">
        <f t="shared" si="19"/>
        <v>33.1850000000003</v>
      </c>
    </row>
    <row r="72" customHeight="1" spans="2:17">
      <c r="B72" s="96">
        <v>55</v>
      </c>
      <c r="C72" s="98">
        <f t="shared" si="10"/>
        <v>6.22644625785295</v>
      </c>
      <c r="D72" s="98">
        <f t="shared" si="11"/>
        <v>0.189143929687705</v>
      </c>
      <c r="E72" s="100">
        <f t="shared" si="12"/>
        <v>6.41559018754065</v>
      </c>
      <c r="H72" s="36">
        <v>55</v>
      </c>
      <c r="I72" s="36">
        <f t="shared" si="13"/>
        <v>6.22644625785295</v>
      </c>
      <c r="J72" s="36">
        <f t="shared" si="14"/>
        <v>0.189143929687705</v>
      </c>
      <c r="K72" s="36">
        <f t="shared" si="15"/>
        <v>6.41559018754065</v>
      </c>
      <c r="M72" s="96">
        <v>55</v>
      </c>
      <c r="N72" s="98">
        <f t="shared" si="16"/>
        <v>5.53083333333333</v>
      </c>
      <c r="O72" s="98">
        <f t="shared" si="18"/>
        <v>0.165925000000002</v>
      </c>
      <c r="P72" s="100">
        <f t="shared" si="17"/>
        <v>5.69675833333333</v>
      </c>
      <c r="Q72" s="100">
        <f t="shared" si="19"/>
        <v>27.654166666667</v>
      </c>
    </row>
    <row r="73" customHeight="1" spans="2:17">
      <c r="B73" s="96">
        <v>56</v>
      </c>
      <c r="C73" s="98">
        <f t="shared" si="10"/>
        <v>6.25757848914221</v>
      </c>
      <c r="D73" s="98">
        <f t="shared" si="11"/>
        <v>0.15801169839844</v>
      </c>
      <c r="E73" s="100">
        <f t="shared" si="12"/>
        <v>6.41559018754065</v>
      </c>
      <c r="H73" s="36">
        <v>56</v>
      </c>
      <c r="I73" s="36">
        <f t="shared" si="13"/>
        <v>6.25757848914221</v>
      </c>
      <c r="J73" s="36">
        <f t="shared" si="14"/>
        <v>0.15801169839844</v>
      </c>
      <c r="K73" s="36">
        <f t="shared" si="15"/>
        <v>6.41559018754065</v>
      </c>
      <c r="M73" s="96">
        <v>56</v>
      </c>
      <c r="N73" s="98">
        <f t="shared" si="16"/>
        <v>5.53083333333333</v>
      </c>
      <c r="O73" s="98">
        <f t="shared" si="18"/>
        <v>0.138270833333335</v>
      </c>
      <c r="P73" s="100">
        <f t="shared" si="17"/>
        <v>5.66910416666667</v>
      </c>
      <c r="Q73" s="100">
        <f t="shared" si="19"/>
        <v>22.1233333333336</v>
      </c>
    </row>
    <row r="74" customHeight="1" spans="2:17">
      <c r="B74" s="96">
        <v>57</v>
      </c>
      <c r="C74" s="98">
        <f t="shared" si="10"/>
        <v>6.28886638158792</v>
      </c>
      <c r="D74" s="98">
        <f t="shared" si="11"/>
        <v>0.12672380595273</v>
      </c>
      <c r="E74" s="100">
        <f t="shared" si="12"/>
        <v>6.41559018754065</v>
      </c>
      <c r="H74" s="36">
        <v>57</v>
      </c>
      <c r="I74" s="36">
        <f t="shared" si="13"/>
        <v>6.28886638158792</v>
      </c>
      <c r="J74" s="36">
        <f t="shared" si="14"/>
        <v>0.12672380595273</v>
      </c>
      <c r="K74" s="36">
        <f t="shared" si="15"/>
        <v>6.41559018754065</v>
      </c>
      <c r="M74" s="96">
        <v>57</v>
      </c>
      <c r="N74" s="98">
        <f t="shared" si="16"/>
        <v>5.53083333333333</v>
      </c>
      <c r="O74" s="98">
        <f t="shared" si="18"/>
        <v>0.110616666666668</v>
      </c>
      <c r="P74" s="100">
        <f t="shared" si="17"/>
        <v>5.64145</v>
      </c>
      <c r="Q74" s="100">
        <f t="shared" si="19"/>
        <v>16.5925000000003</v>
      </c>
    </row>
    <row r="75" customHeight="1" spans="2:17">
      <c r="B75" s="96">
        <v>58</v>
      </c>
      <c r="C75" s="98">
        <f t="shared" si="10"/>
        <v>6.32031071349586</v>
      </c>
      <c r="D75" s="98">
        <f t="shared" si="11"/>
        <v>0.0952794740447898</v>
      </c>
      <c r="E75" s="100">
        <f t="shared" si="12"/>
        <v>6.41559018754065</v>
      </c>
      <c r="H75" s="36">
        <v>58</v>
      </c>
      <c r="I75" s="36">
        <f t="shared" si="13"/>
        <v>6.32031071349586</v>
      </c>
      <c r="J75" s="36">
        <f t="shared" si="14"/>
        <v>0.0952794740447898</v>
      </c>
      <c r="K75" s="36">
        <f t="shared" si="15"/>
        <v>6.41559018754065</v>
      </c>
      <c r="M75" s="96">
        <v>58</v>
      </c>
      <c r="N75" s="98">
        <f t="shared" si="16"/>
        <v>5.53083333333333</v>
      </c>
      <c r="O75" s="98">
        <f t="shared" si="18"/>
        <v>0.0829625000000016</v>
      </c>
      <c r="P75" s="100">
        <f t="shared" si="17"/>
        <v>5.61379583333333</v>
      </c>
      <c r="Q75" s="100">
        <f t="shared" si="19"/>
        <v>11.061666666667</v>
      </c>
    </row>
    <row r="76" customHeight="1" spans="2:17">
      <c r="B76" s="96">
        <v>59</v>
      </c>
      <c r="C76" s="98">
        <f t="shared" si="10"/>
        <v>6.35191226706334</v>
      </c>
      <c r="D76" s="98">
        <f t="shared" si="11"/>
        <v>0.0636779204773097</v>
      </c>
      <c r="E76" s="100">
        <f t="shared" si="12"/>
        <v>6.41559018754065</v>
      </c>
      <c r="H76" s="36">
        <v>59</v>
      </c>
      <c r="I76" s="36">
        <f t="shared" si="13"/>
        <v>6.35191226706334</v>
      </c>
      <c r="J76" s="36">
        <f t="shared" si="14"/>
        <v>0.0636779204773097</v>
      </c>
      <c r="K76" s="36">
        <f t="shared" si="15"/>
        <v>6.41559018754065</v>
      </c>
      <c r="M76" s="96">
        <v>59</v>
      </c>
      <c r="N76" s="98">
        <f t="shared" si="16"/>
        <v>5.53083333333333</v>
      </c>
      <c r="O76" s="98">
        <f t="shared" si="18"/>
        <v>0.0553083333333349</v>
      </c>
      <c r="P76" s="100">
        <f t="shared" si="17"/>
        <v>5.58614166666667</v>
      </c>
      <c r="Q76" s="100">
        <f t="shared" si="19"/>
        <v>5.53083333333365</v>
      </c>
    </row>
    <row r="77" customHeight="1" spans="2:17">
      <c r="B77" s="96">
        <v>60</v>
      </c>
      <c r="C77" s="98">
        <f t="shared" si="10"/>
        <v>6.38367182839866</v>
      </c>
      <c r="D77" s="98">
        <f t="shared" si="11"/>
        <v>0.0319183591419927</v>
      </c>
      <c r="E77" s="100">
        <f t="shared" si="12"/>
        <v>6.41559018754065</v>
      </c>
      <c r="H77" s="36">
        <v>60</v>
      </c>
      <c r="I77" s="36">
        <f t="shared" si="13"/>
        <v>6.38367182839866</v>
      </c>
      <c r="J77" s="36">
        <f t="shared" si="14"/>
        <v>0.0319183591419927</v>
      </c>
      <c r="K77" s="36">
        <f t="shared" si="15"/>
        <v>6.41559018754065</v>
      </c>
      <c r="M77" s="96">
        <v>60</v>
      </c>
      <c r="N77" s="98">
        <f t="shared" si="16"/>
        <v>5.53083333333333</v>
      </c>
      <c r="O77" s="98">
        <f t="shared" si="18"/>
        <v>0.0276541666666682</v>
      </c>
      <c r="P77" s="100">
        <f t="shared" si="17"/>
        <v>5.5584875</v>
      </c>
      <c r="Q77" s="100">
        <f t="shared" si="19"/>
        <v>3.14415160573844e-13</v>
      </c>
    </row>
    <row r="78" customHeight="1" spans="2:17">
      <c r="B78" s="96">
        <v>61</v>
      </c>
      <c r="C78" s="98">
        <f t="shared" si="10"/>
        <v>0</v>
      </c>
      <c r="D78" s="98">
        <f t="shared" si="11"/>
        <v>0</v>
      </c>
      <c r="E78" s="100">
        <f t="shared" si="12"/>
        <v>0</v>
      </c>
      <c r="H78" s="36">
        <v>61</v>
      </c>
      <c r="I78" s="36">
        <f t="shared" si="13"/>
        <v>0</v>
      </c>
      <c r="J78" s="36">
        <f t="shared" si="14"/>
        <v>0</v>
      </c>
      <c r="K78" s="36">
        <f t="shared" si="15"/>
        <v>0</v>
      </c>
      <c r="M78" s="96">
        <v>61</v>
      </c>
      <c r="N78" s="98">
        <f t="shared" si="16"/>
        <v>0</v>
      </c>
      <c r="O78" s="98">
        <f t="shared" si="18"/>
        <v>0</v>
      </c>
      <c r="P78" s="100">
        <f t="shared" si="17"/>
        <v>0</v>
      </c>
      <c r="Q78" s="100">
        <f t="shared" si="19"/>
        <v>3.14415160573844e-13</v>
      </c>
    </row>
    <row r="79" customHeight="1" spans="2:17">
      <c r="B79" s="96">
        <v>62</v>
      </c>
      <c r="C79" s="98">
        <f t="shared" si="10"/>
        <v>0</v>
      </c>
      <c r="D79" s="98">
        <f t="shared" si="11"/>
        <v>0</v>
      </c>
      <c r="E79" s="100">
        <f t="shared" si="12"/>
        <v>0</v>
      </c>
      <c r="H79" s="36">
        <v>62</v>
      </c>
      <c r="I79" s="36">
        <f t="shared" si="13"/>
        <v>0</v>
      </c>
      <c r="J79" s="36">
        <f t="shared" si="14"/>
        <v>0</v>
      </c>
      <c r="K79" s="36">
        <f t="shared" si="15"/>
        <v>0</v>
      </c>
      <c r="M79" s="96">
        <v>62</v>
      </c>
      <c r="N79" s="98">
        <f t="shared" si="16"/>
        <v>0</v>
      </c>
      <c r="O79" s="98">
        <f t="shared" si="18"/>
        <v>0</v>
      </c>
      <c r="P79" s="100">
        <f t="shared" si="17"/>
        <v>0</v>
      </c>
      <c r="Q79" s="100">
        <f t="shared" si="19"/>
        <v>3.14415160573844e-13</v>
      </c>
    </row>
    <row r="80" customHeight="1" spans="2:17">
      <c r="B80" s="96">
        <v>63</v>
      </c>
      <c r="C80" s="98">
        <f t="shared" si="10"/>
        <v>0</v>
      </c>
      <c r="D80" s="98">
        <f t="shared" si="11"/>
        <v>0</v>
      </c>
      <c r="E80" s="100">
        <f t="shared" si="12"/>
        <v>0</v>
      </c>
      <c r="H80" s="36">
        <v>63</v>
      </c>
      <c r="I80" s="36">
        <f t="shared" si="13"/>
        <v>0</v>
      </c>
      <c r="J80" s="36">
        <f t="shared" si="14"/>
        <v>0</v>
      </c>
      <c r="K80" s="36">
        <f t="shared" si="15"/>
        <v>0</v>
      </c>
      <c r="M80" s="96">
        <v>63</v>
      </c>
      <c r="N80" s="98">
        <f t="shared" si="16"/>
        <v>0</v>
      </c>
      <c r="O80" s="98">
        <f t="shared" si="18"/>
        <v>0</v>
      </c>
      <c r="P80" s="100">
        <f t="shared" si="17"/>
        <v>0</v>
      </c>
      <c r="Q80" s="100">
        <f t="shared" si="19"/>
        <v>3.14415160573844e-13</v>
      </c>
    </row>
    <row r="81" customHeight="1" spans="2:17">
      <c r="B81" s="96">
        <v>64</v>
      </c>
      <c r="C81" s="98">
        <f t="shared" si="10"/>
        <v>0</v>
      </c>
      <c r="D81" s="98">
        <f t="shared" si="11"/>
        <v>0</v>
      </c>
      <c r="E81" s="100">
        <f t="shared" si="12"/>
        <v>0</v>
      </c>
      <c r="H81" s="36">
        <v>64</v>
      </c>
      <c r="I81" s="36">
        <f t="shared" si="13"/>
        <v>0</v>
      </c>
      <c r="J81" s="36">
        <f t="shared" si="14"/>
        <v>0</v>
      </c>
      <c r="K81" s="36">
        <f t="shared" si="15"/>
        <v>0</v>
      </c>
      <c r="M81" s="96">
        <v>64</v>
      </c>
      <c r="N81" s="98">
        <f t="shared" si="16"/>
        <v>0</v>
      </c>
      <c r="O81" s="98">
        <f t="shared" si="18"/>
        <v>0</v>
      </c>
      <c r="P81" s="100">
        <f t="shared" si="17"/>
        <v>0</v>
      </c>
      <c r="Q81" s="100">
        <f t="shared" si="19"/>
        <v>3.14415160573844e-13</v>
      </c>
    </row>
    <row r="82" customHeight="1" spans="2:17">
      <c r="B82" s="96">
        <v>65</v>
      </c>
      <c r="C82" s="98">
        <f t="shared" ref="C82:C113" si="20">IF(B82&lt;$F$6,0,IF(B82&gt;$G$15,0,I82))</f>
        <v>0</v>
      </c>
      <c r="D82" s="98">
        <f t="shared" ref="D82:D113" si="21">IF(B82&lt;=$F$6,PRODUCT($E$15,$C$15),J82)</f>
        <v>0</v>
      </c>
      <c r="E82" s="100">
        <f t="shared" ref="E82:E113" si="22">C82+D82</f>
        <v>0</v>
      </c>
      <c r="H82" s="36">
        <v>65</v>
      </c>
      <c r="I82" s="36">
        <f t="shared" ref="I82:I113" si="23">IF(B82&lt;=$F$6,0,IF(B82&gt;$G$15,0,PPMT($C$15,B82-$F$6,$K$15,-$E$15)))</f>
        <v>0</v>
      </c>
      <c r="J82" s="36">
        <f t="shared" ref="J82:J113" si="24">IF(B82&lt;=$F$6,0,IF(B82&gt;$G$15,0,IF(I82=0,PRODUCT($E$15,$C$15),K82-I82)))</f>
        <v>0</v>
      </c>
      <c r="K82" s="36">
        <f t="shared" ref="K82:K113" si="25">IF(B82&lt;=$F$6,0,IF(B82&gt;$G$15,0,PMT($C$15,$K$15,-$E$15)))</f>
        <v>0</v>
      </c>
      <c r="M82" s="96">
        <v>65</v>
      </c>
      <c r="N82" s="98">
        <f t="shared" ref="N82:N113" si="26">IF(M82&gt;$G$15,0,$P$15/$R$15)</f>
        <v>0</v>
      </c>
      <c r="O82" s="98">
        <f t="shared" si="18"/>
        <v>0</v>
      </c>
      <c r="P82" s="100">
        <f t="shared" ref="P82:P113" si="27">N82+O82</f>
        <v>0</v>
      </c>
      <c r="Q82" s="100">
        <f t="shared" si="19"/>
        <v>3.14415160573844e-13</v>
      </c>
    </row>
    <row r="83" customHeight="1" spans="2:17">
      <c r="B83" s="96">
        <v>66</v>
      </c>
      <c r="C83" s="98">
        <f t="shared" si="20"/>
        <v>0</v>
      </c>
      <c r="D83" s="98">
        <f t="shared" si="21"/>
        <v>0</v>
      </c>
      <c r="E83" s="100">
        <f t="shared" si="22"/>
        <v>0</v>
      </c>
      <c r="H83" s="36">
        <v>66</v>
      </c>
      <c r="I83" s="36">
        <f t="shared" si="23"/>
        <v>0</v>
      </c>
      <c r="J83" s="36">
        <f t="shared" si="24"/>
        <v>0</v>
      </c>
      <c r="K83" s="36">
        <f t="shared" si="25"/>
        <v>0</v>
      </c>
      <c r="M83" s="96">
        <v>66</v>
      </c>
      <c r="N83" s="98">
        <f t="shared" si="26"/>
        <v>0</v>
      </c>
      <c r="O83" s="98">
        <f t="shared" ref="O83:O114" si="28">IF(M83&gt;$G$15,0,Q82*$N$15)</f>
        <v>0</v>
      </c>
      <c r="P83" s="100">
        <f t="shared" si="27"/>
        <v>0</v>
      </c>
      <c r="Q83" s="100">
        <f t="shared" ref="Q83:Q114" si="29">Q82-N83</f>
        <v>3.14415160573844e-13</v>
      </c>
    </row>
    <row r="84" customHeight="1" spans="2:17">
      <c r="B84" s="96">
        <v>67</v>
      </c>
      <c r="C84" s="98">
        <f t="shared" si="20"/>
        <v>0</v>
      </c>
      <c r="D84" s="98">
        <f t="shared" si="21"/>
        <v>0</v>
      </c>
      <c r="E84" s="100">
        <f t="shared" si="22"/>
        <v>0</v>
      </c>
      <c r="H84" s="36">
        <v>67</v>
      </c>
      <c r="I84" s="36">
        <f t="shared" si="23"/>
        <v>0</v>
      </c>
      <c r="J84" s="36">
        <f t="shared" si="24"/>
        <v>0</v>
      </c>
      <c r="K84" s="36">
        <f t="shared" si="25"/>
        <v>0</v>
      </c>
      <c r="M84" s="96">
        <v>67</v>
      </c>
      <c r="N84" s="98">
        <f t="shared" si="26"/>
        <v>0</v>
      </c>
      <c r="O84" s="98">
        <f t="shared" si="28"/>
        <v>0</v>
      </c>
      <c r="P84" s="100">
        <f t="shared" si="27"/>
        <v>0</v>
      </c>
      <c r="Q84" s="100">
        <f t="shared" si="29"/>
        <v>3.14415160573844e-13</v>
      </c>
    </row>
    <row r="85" customHeight="1" spans="2:17">
      <c r="B85" s="96">
        <v>68</v>
      </c>
      <c r="C85" s="98">
        <f t="shared" si="20"/>
        <v>0</v>
      </c>
      <c r="D85" s="98">
        <f t="shared" si="21"/>
        <v>0</v>
      </c>
      <c r="E85" s="100">
        <f t="shared" si="22"/>
        <v>0</v>
      </c>
      <c r="H85" s="36">
        <v>68</v>
      </c>
      <c r="I85" s="36">
        <f t="shared" si="23"/>
        <v>0</v>
      </c>
      <c r="J85" s="36">
        <f t="shared" si="24"/>
        <v>0</v>
      </c>
      <c r="K85" s="36">
        <f t="shared" si="25"/>
        <v>0</v>
      </c>
      <c r="M85" s="96">
        <v>68</v>
      </c>
      <c r="N85" s="98">
        <f t="shared" si="26"/>
        <v>0</v>
      </c>
      <c r="O85" s="98">
        <f t="shared" si="28"/>
        <v>0</v>
      </c>
      <c r="P85" s="100">
        <f t="shared" si="27"/>
        <v>0</v>
      </c>
      <c r="Q85" s="100">
        <f t="shared" si="29"/>
        <v>3.14415160573844e-13</v>
      </c>
    </row>
    <row r="86" customHeight="1" spans="2:17">
      <c r="B86" s="96">
        <v>69</v>
      </c>
      <c r="C86" s="98">
        <f t="shared" si="20"/>
        <v>0</v>
      </c>
      <c r="D86" s="98">
        <f t="shared" si="21"/>
        <v>0</v>
      </c>
      <c r="E86" s="100">
        <f t="shared" si="22"/>
        <v>0</v>
      </c>
      <c r="H86" s="36">
        <v>69</v>
      </c>
      <c r="I86" s="36">
        <f t="shared" si="23"/>
        <v>0</v>
      </c>
      <c r="J86" s="36">
        <f t="shared" si="24"/>
        <v>0</v>
      </c>
      <c r="K86" s="36">
        <f t="shared" si="25"/>
        <v>0</v>
      </c>
      <c r="M86" s="96">
        <v>69</v>
      </c>
      <c r="N86" s="98">
        <f t="shared" si="26"/>
        <v>0</v>
      </c>
      <c r="O86" s="98">
        <f t="shared" si="28"/>
        <v>0</v>
      </c>
      <c r="P86" s="100">
        <f t="shared" si="27"/>
        <v>0</v>
      </c>
      <c r="Q86" s="100">
        <f t="shared" si="29"/>
        <v>3.14415160573844e-13</v>
      </c>
    </row>
    <row r="87" customHeight="1" spans="2:17">
      <c r="B87" s="96">
        <v>70</v>
      </c>
      <c r="C87" s="98">
        <f t="shared" si="20"/>
        <v>0</v>
      </c>
      <c r="D87" s="98">
        <f t="shared" si="21"/>
        <v>0</v>
      </c>
      <c r="E87" s="100">
        <f t="shared" si="22"/>
        <v>0</v>
      </c>
      <c r="H87" s="36">
        <v>70</v>
      </c>
      <c r="I87" s="36">
        <f t="shared" si="23"/>
        <v>0</v>
      </c>
      <c r="J87" s="36">
        <f t="shared" si="24"/>
        <v>0</v>
      </c>
      <c r="K87" s="36">
        <f t="shared" si="25"/>
        <v>0</v>
      </c>
      <c r="M87" s="96">
        <v>70</v>
      </c>
      <c r="N87" s="98">
        <f t="shared" si="26"/>
        <v>0</v>
      </c>
      <c r="O87" s="98">
        <f t="shared" si="28"/>
        <v>0</v>
      </c>
      <c r="P87" s="100">
        <f t="shared" si="27"/>
        <v>0</v>
      </c>
      <c r="Q87" s="100">
        <f t="shared" si="29"/>
        <v>3.14415160573844e-13</v>
      </c>
    </row>
    <row r="88" customHeight="1" spans="2:17">
      <c r="B88" s="96">
        <v>71</v>
      </c>
      <c r="C88" s="98">
        <f t="shared" si="20"/>
        <v>0</v>
      </c>
      <c r="D88" s="98">
        <f t="shared" si="21"/>
        <v>0</v>
      </c>
      <c r="E88" s="100">
        <f t="shared" si="22"/>
        <v>0</v>
      </c>
      <c r="H88" s="36">
        <v>71</v>
      </c>
      <c r="I88" s="36">
        <f t="shared" si="23"/>
        <v>0</v>
      </c>
      <c r="J88" s="36">
        <f t="shared" si="24"/>
        <v>0</v>
      </c>
      <c r="K88" s="36">
        <f t="shared" si="25"/>
        <v>0</v>
      </c>
      <c r="M88" s="96">
        <v>71</v>
      </c>
      <c r="N88" s="98">
        <f t="shared" si="26"/>
        <v>0</v>
      </c>
      <c r="O88" s="98">
        <f t="shared" si="28"/>
        <v>0</v>
      </c>
      <c r="P88" s="100">
        <f t="shared" si="27"/>
        <v>0</v>
      </c>
      <c r="Q88" s="100">
        <f t="shared" si="29"/>
        <v>3.14415160573844e-13</v>
      </c>
    </row>
    <row r="89" customHeight="1" spans="2:17">
      <c r="B89" s="96">
        <v>72</v>
      </c>
      <c r="C89" s="98">
        <f t="shared" si="20"/>
        <v>0</v>
      </c>
      <c r="D89" s="98">
        <f t="shared" si="21"/>
        <v>0</v>
      </c>
      <c r="E89" s="100">
        <f t="shared" si="22"/>
        <v>0</v>
      </c>
      <c r="H89" s="36">
        <v>72</v>
      </c>
      <c r="I89" s="36">
        <f t="shared" si="23"/>
        <v>0</v>
      </c>
      <c r="J89" s="36">
        <f t="shared" si="24"/>
        <v>0</v>
      </c>
      <c r="K89" s="36">
        <f t="shared" si="25"/>
        <v>0</v>
      </c>
      <c r="M89" s="96">
        <v>72</v>
      </c>
      <c r="N89" s="98">
        <f t="shared" si="26"/>
        <v>0</v>
      </c>
      <c r="O89" s="98">
        <f t="shared" si="28"/>
        <v>0</v>
      </c>
      <c r="P89" s="100">
        <f t="shared" si="27"/>
        <v>0</v>
      </c>
      <c r="Q89" s="100">
        <f t="shared" si="29"/>
        <v>3.14415160573844e-13</v>
      </c>
    </row>
    <row r="90" customHeight="1" spans="2:17">
      <c r="B90" s="96">
        <v>73</v>
      </c>
      <c r="C90" s="98">
        <f t="shared" si="20"/>
        <v>0</v>
      </c>
      <c r="D90" s="98">
        <f t="shared" si="21"/>
        <v>0</v>
      </c>
      <c r="E90" s="100">
        <f t="shared" si="22"/>
        <v>0</v>
      </c>
      <c r="H90" s="36">
        <v>73</v>
      </c>
      <c r="I90" s="36">
        <f t="shared" si="23"/>
        <v>0</v>
      </c>
      <c r="J90" s="36">
        <f t="shared" si="24"/>
        <v>0</v>
      </c>
      <c r="K90" s="36">
        <f t="shared" si="25"/>
        <v>0</v>
      </c>
      <c r="M90" s="96">
        <v>73</v>
      </c>
      <c r="N90" s="98">
        <f t="shared" si="26"/>
        <v>0</v>
      </c>
      <c r="O90" s="98">
        <f t="shared" si="28"/>
        <v>0</v>
      </c>
      <c r="P90" s="100">
        <f t="shared" si="27"/>
        <v>0</v>
      </c>
      <c r="Q90" s="100">
        <f t="shared" si="29"/>
        <v>3.14415160573844e-13</v>
      </c>
    </row>
    <row r="91" customHeight="1" spans="2:17">
      <c r="B91" s="96">
        <v>74</v>
      </c>
      <c r="C91" s="98">
        <f t="shared" si="20"/>
        <v>0</v>
      </c>
      <c r="D91" s="98">
        <f t="shared" si="21"/>
        <v>0</v>
      </c>
      <c r="E91" s="100">
        <f t="shared" si="22"/>
        <v>0</v>
      </c>
      <c r="H91" s="36">
        <v>74</v>
      </c>
      <c r="I91" s="36">
        <f t="shared" si="23"/>
        <v>0</v>
      </c>
      <c r="J91" s="36">
        <f t="shared" si="24"/>
        <v>0</v>
      </c>
      <c r="K91" s="36">
        <f t="shared" si="25"/>
        <v>0</v>
      </c>
      <c r="M91" s="96">
        <v>74</v>
      </c>
      <c r="N91" s="98">
        <f t="shared" si="26"/>
        <v>0</v>
      </c>
      <c r="O91" s="98">
        <f t="shared" si="28"/>
        <v>0</v>
      </c>
      <c r="P91" s="100">
        <f t="shared" si="27"/>
        <v>0</v>
      </c>
      <c r="Q91" s="100">
        <f t="shared" si="29"/>
        <v>3.14415160573844e-13</v>
      </c>
    </row>
    <row r="92" customHeight="1" spans="2:17">
      <c r="B92" s="96">
        <v>75</v>
      </c>
      <c r="C92" s="98">
        <f t="shared" si="20"/>
        <v>0</v>
      </c>
      <c r="D92" s="98">
        <f t="shared" si="21"/>
        <v>0</v>
      </c>
      <c r="E92" s="100">
        <f t="shared" si="22"/>
        <v>0</v>
      </c>
      <c r="H92" s="36">
        <v>75</v>
      </c>
      <c r="I92" s="36">
        <f t="shared" si="23"/>
        <v>0</v>
      </c>
      <c r="J92" s="36">
        <f t="shared" si="24"/>
        <v>0</v>
      </c>
      <c r="K92" s="36">
        <f t="shared" si="25"/>
        <v>0</v>
      </c>
      <c r="M92" s="96">
        <v>75</v>
      </c>
      <c r="N92" s="98">
        <f t="shared" si="26"/>
        <v>0</v>
      </c>
      <c r="O92" s="98">
        <f t="shared" si="28"/>
        <v>0</v>
      </c>
      <c r="P92" s="100">
        <f t="shared" si="27"/>
        <v>0</v>
      </c>
      <c r="Q92" s="100">
        <f t="shared" si="29"/>
        <v>3.14415160573844e-13</v>
      </c>
    </row>
    <row r="93" customHeight="1" spans="2:17">
      <c r="B93" s="96">
        <v>76</v>
      </c>
      <c r="C93" s="98">
        <f t="shared" si="20"/>
        <v>0</v>
      </c>
      <c r="D93" s="98">
        <f t="shared" si="21"/>
        <v>0</v>
      </c>
      <c r="E93" s="100">
        <f t="shared" si="22"/>
        <v>0</v>
      </c>
      <c r="H93" s="36">
        <v>76</v>
      </c>
      <c r="I93" s="36">
        <f t="shared" si="23"/>
        <v>0</v>
      </c>
      <c r="J93" s="36">
        <f t="shared" si="24"/>
        <v>0</v>
      </c>
      <c r="K93" s="36">
        <f t="shared" si="25"/>
        <v>0</v>
      </c>
      <c r="M93" s="96">
        <v>76</v>
      </c>
      <c r="N93" s="98">
        <f t="shared" si="26"/>
        <v>0</v>
      </c>
      <c r="O93" s="98">
        <f t="shared" si="28"/>
        <v>0</v>
      </c>
      <c r="P93" s="100">
        <f t="shared" si="27"/>
        <v>0</v>
      </c>
      <c r="Q93" s="100">
        <f t="shared" si="29"/>
        <v>3.14415160573844e-13</v>
      </c>
    </row>
    <row r="94" customHeight="1" spans="2:17">
      <c r="B94" s="96">
        <v>77</v>
      </c>
      <c r="C94" s="98">
        <f t="shared" si="20"/>
        <v>0</v>
      </c>
      <c r="D94" s="98">
        <f t="shared" si="21"/>
        <v>0</v>
      </c>
      <c r="E94" s="100">
        <f t="shared" si="22"/>
        <v>0</v>
      </c>
      <c r="H94" s="36">
        <v>77</v>
      </c>
      <c r="I94" s="36">
        <f t="shared" si="23"/>
        <v>0</v>
      </c>
      <c r="J94" s="36">
        <f t="shared" si="24"/>
        <v>0</v>
      </c>
      <c r="K94" s="36">
        <f t="shared" si="25"/>
        <v>0</v>
      </c>
      <c r="M94" s="96">
        <v>77</v>
      </c>
      <c r="N94" s="98">
        <f t="shared" si="26"/>
        <v>0</v>
      </c>
      <c r="O94" s="98">
        <f t="shared" si="28"/>
        <v>0</v>
      </c>
      <c r="P94" s="100">
        <f t="shared" si="27"/>
        <v>0</v>
      </c>
      <c r="Q94" s="100">
        <f t="shared" si="29"/>
        <v>3.14415160573844e-13</v>
      </c>
    </row>
    <row r="95" customHeight="1" spans="2:17">
      <c r="B95" s="96">
        <v>78</v>
      </c>
      <c r="C95" s="98">
        <f t="shared" si="20"/>
        <v>0</v>
      </c>
      <c r="D95" s="98">
        <f t="shared" si="21"/>
        <v>0</v>
      </c>
      <c r="E95" s="100">
        <f t="shared" si="22"/>
        <v>0</v>
      </c>
      <c r="H95" s="36">
        <v>78</v>
      </c>
      <c r="I95" s="36">
        <f t="shared" si="23"/>
        <v>0</v>
      </c>
      <c r="J95" s="36">
        <f t="shared" si="24"/>
        <v>0</v>
      </c>
      <c r="K95" s="36">
        <f t="shared" si="25"/>
        <v>0</v>
      </c>
      <c r="M95" s="96">
        <v>78</v>
      </c>
      <c r="N95" s="98">
        <f t="shared" si="26"/>
        <v>0</v>
      </c>
      <c r="O95" s="98">
        <f t="shared" si="28"/>
        <v>0</v>
      </c>
      <c r="P95" s="100">
        <f t="shared" si="27"/>
        <v>0</v>
      </c>
      <c r="Q95" s="100">
        <f t="shared" si="29"/>
        <v>3.14415160573844e-13</v>
      </c>
    </row>
    <row r="96" customHeight="1" spans="2:17">
      <c r="B96" s="96">
        <v>79</v>
      </c>
      <c r="C96" s="98">
        <f t="shared" si="20"/>
        <v>0</v>
      </c>
      <c r="D96" s="98">
        <f t="shared" si="21"/>
        <v>0</v>
      </c>
      <c r="E96" s="100">
        <f t="shared" si="22"/>
        <v>0</v>
      </c>
      <c r="H96" s="36">
        <v>79</v>
      </c>
      <c r="I96" s="36">
        <f t="shared" si="23"/>
        <v>0</v>
      </c>
      <c r="J96" s="36">
        <f t="shared" si="24"/>
        <v>0</v>
      </c>
      <c r="K96" s="36">
        <f t="shared" si="25"/>
        <v>0</v>
      </c>
      <c r="M96" s="96">
        <v>79</v>
      </c>
      <c r="N96" s="98">
        <f t="shared" si="26"/>
        <v>0</v>
      </c>
      <c r="O96" s="98">
        <f t="shared" si="28"/>
        <v>0</v>
      </c>
      <c r="P96" s="100">
        <f t="shared" si="27"/>
        <v>0</v>
      </c>
      <c r="Q96" s="100">
        <f t="shared" si="29"/>
        <v>3.14415160573844e-13</v>
      </c>
    </row>
    <row r="97" customHeight="1" spans="2:17">
      <c r="B97" s="96">
        <v>80</v>
      </c>
      <c r="C97" s="98">
        <f t="shared" si="20"/>
        <v>0</v>
      </c>
      <c r="D97" s="98">
        <f t="shared" si="21"/>
        <v>0</v>
      </c>
      <c r="E97" s="100">
        <f t="shared" si="22"/>
        <v>0</v>
      </c>
      <c r="H97" s="36">
        <v>80</v>
      </c>
      <c r="I97" s="36">
        <f t="shared" si="23"/>
        <v>0</v>
      </c>
      <c r="J97" s="36">
        <f t="shared" si="24"/>
        <v>0</v>
      </c>
      <c r="K97" s="36">
        <f t="shared" si="25"/>
        <v>0</v>
      </c>
      <c r="M97" s="96">
        <v>80</v>
      </c>
      <c r="N97" s="98">
        <f t="shared" si="26"/>
        <v>0</v>
      </c>
      <c r="O97" s="98">
        <f t="shared" si="28"/>
        <v>0</v>
      </c>
      <c r="P97" s="100">
        <f t="shared" si="27"/>
        <v>0</v>
      </c>
      <c r="Q97" s="100">
        <f t="shared" si="29"/>
        <v>3.14415160573844e-13</v>
      </c>
    </row>
    <row r="98" customHeight="1" spans="2:17">
      <c r="B98" s="96">
        <v>81</v>
      </c>
      <c r="C98" s="98">
        <f t="shared" si="20"/>
        <v>0</v>
      </c>
      <c r="D98" s="98">
        <f t="shared" si="21"/>
        <v>0</v>
      </c>
      <c r="E98" s="100">
        <f t="shared" si="22"/>
        <v>0</v>
      </c>
      <c r="H98" s="36">
        <v>81</v>
      </c>
      <c r="I98" s="36">
        <f t="shared" si="23"/>
        <v>0</v>
      </c>
      <c r="J98" s="36">
        <f t="shared" si="24"/>
        <v>0</v>
      </c>
      <c r="K98" s="36">
        <f t="shared" si="25"/>
        <v>0</v>
      </c>
      <c r="M98" s="96">
        <v>81</v>
      </c>
      <c r="N98" s="98">
        <f t="shared" si="26"/>
        <v>0</v>
      </c>
      <c r="O98" s="98">
        <f t="shared" si="28"/>
        <v>0</v>
      </c>
      <c r="P98" s="100">
        <f t="shared" si="27"/>
        <v>0</v>
      </c>
      <c r="Q98" s="100">
        <f t="shared" si="29"/>
        <v>3.14415160573844e-13</v>
      </c>
    </row>
    <row r="99" customHeight="1" spans="2:17">
      <c r="B99" s="96">
        <v>82</v>
      </c>
      <c r="C99" s="98">
        <f t="shared" si="20"/>
        <v>0</v>
      </c>
      <c r="D99" s="98">
        <f t="shared" si="21"/>
        <v>0</v>
      </c>
      <c r="E99" s="100">
        <f t="shared" si="22"/>
        <v>0</v>
      </c>
      <c r="H99" s="36">
        <v>82</v>
      </c>
      <c r="I99" s="36">
        <f t="shared" si="23"/>
        <v>0</v>
      </c>
      <c r="J99" s="36">
        <f t="shared" si="24"/>
        <v>0</v>
      </c>
      <c r="K99" s="36">
        <f t="shared" si="25"/>
        <v>0</v>
      </c>
      <c r="M99" s="96">
        <v>82</v>
      </c>
      <c r="N99" s="98">
        <f t="shared" si="26"/>
        <v>0</v>
      </c>
      <c r="O99" s="98">
        <f t="shared" si="28"/>
        <v>0</v>
      </c>
      <c r="P99" s="100">
        <f t="shared" si="27"/>
        <v>0</v>
      </c>
      <c r="Q99" s="100">
        <f t="shared" si="29"/>
        <v>3.14415160573844e-13</v>
      </c>
    </row>
    <row r="100" customHeight="1" spans="2:17">
      <c r="B100" s="96">
        <v>83</v>
      </c>
      <c r="C100" s="98">
        <f t="shared" si="20"/>
        <v>0</v>
      </c>
      <c r="D100" s="98">
        <f t="shared" si="21"/>
        <v>0</v>
      </c>
      <c r="E100" s="100">
        <f t="shared" si="22"/>
        <v>0</v>
      </c>
      <c r="H100" s="36">
        <v>83</v>
      </c>
      <c r="I100" s="36">
        <f t="shared" si="23"/>
        <v>0</v>
      </c>
      <c r="J100" s="36">
        <f t="shared" si="24"/>
        <v>0</v>
      </c>
      <c r="K100" s="36">
        <f t="shared" si="25"/>
        <v>0</v>
      </c>
      <c r="M100" s="96">
        <v>83</v>
      </c>
      <c r="N100" s="98">
        <f t="shared" si="26"/>
        <v>0</v>
      </c>
      <c r="O100" s="98">
        <f t="shared" si="28"/>
        <v>0</v>
      </c>
      <c r="P100" s="100">
        <f t="shared" si="27"/>
        <v>0</v>
      </c>
      <c r="Q100" s="100">
        <f t="shared" si="29"/>
        <v>3.14415160573844e-13</v>
      </c>
    </row>
    <row r="101" customHeight="1" spans="2:17">
      <c r="B101" s="96">
        <v>84</v>
      </c>
      <c r="C101" s="98">
        <f t="shared" si="20"/>
        <v>0</v>
      </c>
      <c r="D101" s="98">
        <f t="shared" si="21"/>
        <v>0</v>
      </c>
      <c r="E101" s="100">
        <f t="shared" si="22"/>
        <v>0</v>
      </c>
      <c r="H101" s="36">
        <v>84</v>
      </c>
      <c r="I101" s="36">
        <f t="shared" si="23"/>
        <v>0</v>
      </c>
      <c r="J101" s="36">
        <f t="shared" si="24"/>
        <v>0</v>
      </c>
      <c r="K101" s="36">
        <f t="shared" si="25"/>
        <v>0</v>
      </c>
      <c r="M101" s="96">
        <v>84</v>
      </c>
      <c r="N101" s="98">
        <f t="shared" si="26"/>
        <v>0</v>
      </c>
      <c r="O101" s="98">
        <f t="shared" si="28"/>
        <v>0</v>
      </c>
      <c r="P101" s="100">
        <f t="shared" si="27"/>
        <v>0</v>
      </c>
      <c r="Q101" s="100">
        <f t="shared" si="29"/>
        <v>3.14415160573844e-13</v>
      </c>
    </row>
    <row r="102" customHeight="1" spans="2:17">
      <c r="B102" s="96">
        <v>85</v>
      </c>
      <c r="C102" s="98">
        <f t="shared" si="20"/>
        <v>0</v>
      </c>
      <c r="D102" s="98">
        <f t="shared" si="21"/>
        <v>0</v>
      </c>
      <c r="E102" s="100">
        <f t="shared" si="22"/>
        <v>0</v>
      </c>
      <c r="H102" s="36">
        <v>85</v>
      </c>
      <c r="I102" s="36">
        <f t="shared" si="23"/>
        <v>0</v>
      </c>
      <c r="J102" s="36">
        <f t="shared" si="24"/>
        <v>0</v>
      </c>
      <c r="K102" s="36">
        <f t="shared" si="25"/>
        <v>0</v>
      </c>
      <c r="M102" s="96">
        <v>85</v>
      </c>
      <c r="N102" s="98">
        <f t="shared" si="26"/>
        <v>0</v>
      </c>
      <c r="O102" s="98">
        <f t="shared" si="28"/>
        <v>0</v>
      </c>
      <c r="P102" s="100">
        <f t="shared" si="27"/>
        <v>0</v>
      </c>
      <c r="Q102" s="100">
        <f t="shared" si="29"/>
        <v>3.14415160573844e-13</v>
      </c>
    </row>
    <row r="103" customHeight="1" spans="2:17">
      <c r="B103" s="96">
        <v>86</v>
      </c>
      <c r="C103" s="98">
        <f t="shared" si="20"/>
        <v>0</v>
      </c>
      <c r="D103" s="98">
        <f t="shared" si="21"/>
        <v>0</v>
      </c>
      <c r="E103" s="100">
        <f t="shared" si="22"/>
        <v>0</v>
      </c>
      <c r="H103" s="36">
        <v>86</v>
      </c>
      <c r="I103" s="36">
        <f t="shared" si="23"/>
        <v>0</v>
      </c>
      <c r="J103" s="36">
        <f t="shared" si="24"/>
        <v>0</v>
      </c>
      <c r="K103" s="36">
        <f t="shared" si="25"/>
        <v>0</v>
      </c>
      <c r="M103" s="96">
        <v>86</v>
      </c>
      <c r="N103" s="98">
        <f t="shared" si="26"/>
        <v>0</v>
      </c>
      <c r="O103" s="98">
        <f t="shared" si="28"/>
        <v>0</v>
      </c>
      <c r="P103" s="100">
        <f t="shared" si="27"/>
        <v>0</v>
      </c>
      <c r="Q103" s="100">
        <f t="shared" si="29"/>
        <v>3.14415160573844e-13</v>
      </c>
    </row>
    <row r="104" customHeight="1" spans="2:17">
      <c r="B104" s="96">
        <v>87</v>
      </c>
      <c r="C104" s="98">
        <f t="shared" si="20"/>
        <v>0</v>
      </c>
      <c r="D104" s="98">
        <f t="shared" si="21"/>
        <v>0</v>
      </c>
      <c r="E104" s="100">
        <f t="shared" si="22"/>
        <v>0</v>
      </c>
      <c r="H104" s="36">
        <v>87</v>
      </c>
      <c r="I104" s="36">
        <f t="shared" si="23"/>
        <v>0</v>
      </c>
      <c r="J104" s="36">
        <f t="shared" si="24"/>
        <v>0</v>
      </c>
      <c r="K104" s="36">
        <f t="shared" si="25"/>
        <v>0</v>
      </c>
      <c r="M104" s="96">
        <v>87</v>
      </c>
      <c r="N104" s="98">
        <f t="shared" si="26"/>
        <v>0</v>
      </c>
      <c r="O104" s="98">
        <f t="shared" si="28"/>
        <v>0</v>
      </c>
      <c r="P104" s="100">
        <f t="shared" si="27"/>
        <v>0</v>
      </c>
      <c r="Q104" s="100">
        <f t="shared" si="29"/>
        <v>3.14415160573844e-13</v>
      </c>
    </row>
    <row r="105" customHeight="1" spans="2:17">
      <c r="B105" s="96">
        <v>88</v>
      </c>
      <c r="C105" s="98">
        <f t="shared" si="20"/>
        <v>0</v>
      </c>
      <c r="D105" s="98">
        <f t="shared" si="21"/>
        <v>0</v>
      </c>
      <c r="E105" s="100">
        <f t="shared" si="22"/>
        <v>0</v>
      </c>
      <c r="H105" s="36">
        <v>88</v>
      </c>
      <c r="I105" s="36">
        <f t="shared" si="23"/>
        <v>0</v>
      </c>
      <c r="J105" s="36">
        <f t="shared" si="24"/>
        <v>0</v>
      </c>
      <c r="K105" s="36">
        <f t="shared" si="25"/>
        <v>0</v>
      </c>
      <c r="M105" s="96">
        <v>88</v>
      </c>
      <c r="N105" s="98">
        <f t="shared" si="26"/>
        <v>0</v>
      </c>
      <c r="O105" s="98">
        <f t="shared" si="28"/>
        <v>0</v>
      </c>
      <c r="P105" s="100">
        <f t="shared" si="27"/>
        <v>0</v>
      </c>
      <c r="Q105" s="100">
        <f t="shared" si="29"/>
        <v>3.14415160573844e-13</v>
      </c>
    </row>
    <row r="106" customHeight="1" spans="2:17">
      <c r="B106" s="96">
        <v>89</v>
      </c>
      <c r="C106" s="98">
        <f t="shared" si="20"/>
        <v>0</v>
      </c>
      <c r="D106" s="98">
        <f t="shared" si="21"/>
        <v>0</v>
      </c>
      <c r="E106" s="100">
        <f t="shared" si="22"/>
        <v>0</v>
      </c>
      <c r="H106" s="36">
        <v>89</v>
      </c>
      <c r="I106" s="36">
        <f t="shared" si="23"/>
        <v>0</v>
      </c>
      <c r="J106" s="36">
        <f t="shared" si="24"/>
        <v>0</v>
      </c>
      <c r="K106" s="36">
        <f t="shared" si="25"/>
        <v>0</v>
      </c>
      <c r="M106" s="96">
        <v>89</v>
      </c>
      <c r="N106" s="98">
        <f t="shared" si="26"/>
        <v>0</v>
      </c>
      <c r="O106" s="98">
        <f t="shared" si="28"/>
        <v>0</v>
      </c>
      <c r="P106" s="100">
        <f t="shared" si="27"/>
        <v>0</v>
      </c>
      <c r="Q106" s="100">
        <f t="shared" si="29"/>
        <v>3.14415160573844e-13</v>
      </c>
    </row>
    <row r="107" customHeight="1" spans="2:17">
      <c r="B107" s="96">
        <v>90</v>
      </c>
      <c r="C107" s="98">
        <f t="shared" si="20"/>
        <v>0</v>
      </c>
      <c r="D107" s="98">
        <f t="shared" si="21"/>
        <v>0</v>
      </c>
      <c r="E107" s="100">
        <f t="shared" si="22"/>
        <v>0</v>
      </c>
      <c r="H107" s="36">
        <v>90</v>
      </c>
      <c r="I107" s="36">
        <f t="shared" si="23"/>
        <v>0</v>
      </c>
      <c r="J107" s="36">
        <f t="shared" si="24"/>
        <v>0</v>
      </c>
      <c r="K107" s="36">
        <f t="shared" si="25"/>
        <v>0</v>
      </c>
      <c r="M107" s="96">
        <v>90</v>
      </c>
      <c r="N107" s="98">
        <f t="shared" si="26"/>
        <v>0</v>
      </c>
      <c r="O107" s="98">
        <f t="shared" si="28"/>
        <v>0</v>
      </c>
      <c r="P107" s="100">
        <f t="shared" si="27"/>
        <v>0</v>
      </c>
      <c r="Q107" s="100">
        <f t="shared" si="29"/>
        <v>3.14415160573844e-13</v>
      </c>
    </row>
    <row r="108" customHeight="1" spans="2:17">
      <c r="B108" s="96">
        <v>91</v>
      </c>
      <c r="C108" s="98">
        <f t="shared" si="20"/>
        <v>0</v>
      </c>
      <c r="D108" s="98">
        <f t="shared" si="21"/>
        <v>0</v>
      </c>
      <c r="E108" s="100">
        <f t="shared" si="22"/>
        <v>0</v>
      </c>
      <c r="H108" s="36">
        <v>91</v>
      </c>
      <c r="I108" s="36">
        <f t="shared" si="23"/>
        <v>0</v>
      </c>
      <c r="J108" s="36">
        <f t="shared" si="24"/>
        <v>0</v>
      </c>
      <c r="K108" s="36">
        <f t="shared" si="25"/>
        <v>0</v>
      </c>
      <c r="M108" s="96">
        <v>91</v>
      </c>
      <c r="N108" s="98">
        <f t="shared" si="26"/>
        <v>0</v>
      </c>
      <c r="O108" s="98">
        <f t="shared" si="28"/>
        <v>0</v>
      </c>
      <c r="P108" s="100">
        <f t="shared" si="27"/>
        <v>0</v>
      </c>
      <c r="Q108" s="100">
        <f t="shared" si="29"/>
        <v>3.14415160573844e-13</v>
      </c>
    </row>
    <row r="109" customHeight="1" spans="2:17">
      <c r="B109" s="96">
        <v>92</v>
      </c>
      <c r="C109" s="98">
        <f t="shared" si="20"/>
        <v>0</v>
      </c>
      <c r="D109" s="98">
        <f t="shared" si="21"/>
        <v>0</v>
      </c>
      <c r="E109" s="100">
        <f t="shared" si="22"/>
        <v>0</v>
      </c>
      <c r="H109" s="36">
        <v>92</v>
      </c>
      <c r="I109" s="36">
        <f t="shared" si="23"/>
        <v>0</v>
      </c>
      <c r="J109" s="36">
        <f t="shared" si="24"/>
        <v>0</v>
      </c>
      <c r="K109" s="36">
        <f t="shared" si="25"/>
        <v>0</v>
      </c>
      <c r="M109" s="96">
        <v>92</v>
      </c>
      <c r="N109" s="98">
        <f t="shared" si="26"/>
        <v>0</v>
      </c>
      <c r="O109" s="98">
        <f t="shared" si="28"/>
        <v>0</v>
      </c>
      <c r="P109" s="100">
        <f t="shared" si="27"/>
        <v>0</v>
      </c>
      <c r="Q109" s="100">
        <f t="shared" si="29"/>
        <v>3.14415160573844e-13</v>
      </c>
    </row>
    <row r="110" customHeight="1" spans="2:17">
      <c r="B110" s="96">
        <v>93</v>
      </c>
      <c r="C110" s="98">
        <f t="shared" si="20"/>
        <v>0</v>
      </c>
      <c r="D110" s="98">
        <f t="shared" si="21"/>
        <v>0</v>
      </c>
      <c r="E110" s="100">
        <f t="shared" si="22"/>
        <v>0</v>
      </c>
      <c r="H110" s="36">
        <v>93</v>
      </c>
      <c r="I110" s="36">
        <f t="shared" si="23"/>
        <v>0</v>
      </c>
      <c r="J110" s="36">
        <f t="shared" si="24"/>
        <v>0</v>
      </c>
      <c r="K110" s="36">
        <f t="shared" si="25"/>
        <v>0</v>
      </c>
      <c r="M110" s="96">
        <v>93</v>
      </c>
      <c r="N110" s="98">
        <f t="shared" si="26"/>
        <v>0</v>
      </c>
      <c r="O110" s="98">
        <f t="shared" si="28"/>
        <v>0</v>
      </c>
      <c r="P110" s="100">
        <f t="shared" si="27"/>
        <v>0</v>
      </c>
      <c r="Q110" s="100">
        <f t="shared" si="29"/>
        <v>3.14415160573844e-13</v>
      </c>
    </row>
    <row r="111" customHeight="1" spans="2:17">
      <c r="B111" s="96">
        <v>94</v>
      </c>
      <c r="C111" s="98">
        <f t="shared" si="20"/>
        <v>0</v>
      </c>
      <c r="D111" s="98">
        <f t="shared" si="21"/>
        <v>0</v>
      </c>
      <c r="E111" s="100">
        <f t="shared" si="22"/>
        <v>0</v>
      </c>
      <c r="H111" s="36">
        <v>94</v>
      </c>
      <c r="I111" s="36">
        <f t="shared" si="23"/>
        <v>0</v>
      </c>
      <c r="J111" s="36">
        <f t="shared" si="24"/>
        <v>0</v>
      </c>
      <c r="K111" s="36">
        <f t="shared" si="25"/>
        <v>0</v>
      </c>
      <c r="M111" s="96">
        <v>94</v>
      </c>
      <c r="N111" s="98">
        <f t="shared" si="26"/>
        <v>0</v>
      </c>
      <c r="O111" s="98">
        <f t="shared" si="28"/>
        <v>0</v>
      </c>
      <c r="P111" s="100">
        <f t="shared" si="27"/>
        <v>0</v>
      </c>
      <c r="Q111" s="100">
        <f t="shared" si="29"/>
        <v>3.14415160573844e-13</v>
      </c>
    </row>
    <row r="112" customHeight="1" spans="2:17">
      <c r="B112" s="96">
        <v>95</v>
      </c>
      <c r="C112" s="98">
        <f t="shared" si="20"/>
        <v>0</v>
      </c>
      <c r="D112" s="98">
        <f t="shared" si="21"/>
        <v>0</v>
      </c>
      <c r="E112" s="100">
        <f t="shared" si="22"/>
        <v>0</v>
      </c>
      <c r="H112" s="36">
        <v>95</v>
      </c>
      <c r="I112" s="36">
        <f t="shared" si="23"/>
        <v>0</v>
      </c>
      <c r="J112" s="36">
        <f t="shared" si="24"/>
        <v>0</v>
      </c>
      <c r="K112" s="36">
        <f t="shared" si="25"/>
        <v>0</v>
      </c>
      <c r="M112" s="96">
        <v>95</v>
      </c>
      <c r="N112" s="98">
        <f t="shared" si="26"/>
        <v>0</v>
      </c>
      <c r="O112" s="98">
        <f t="shared" si="28"/>
        <v>0</v>
      </c>
      <c r="P112" s="100">
        <f t="shared" si="27"/>
        <v>0</v>
      </c>
      <c r="Q112" s="100">
        <f t="shared" si="29"/>
        <v>3.14415160573844e-13</v>
      </c>
    </row>
    <row r="113" customHeight="1" spans="2:17">
      <c r="B113" s="96">
        <v>96</v>
      </c>
      <c r="C113" s="98">
        <f t="shared" si="20"/>
        <v>0</v>
      </c>
      <c r="D113" s="98">
        <f t="shared" si="21"/>
        <v>0</v>
      </c>
      <c r="E113" s="100">
        <f t="shared" si="22"/>
        <v>0</v>
      </c>
      <c r="H113" s="36">
        <v>96</v>
      </c>
      <c r="I113" s="36">
        <f t="shared" si="23"/>
        <v>0</v>
      </c>
      <c r="J113" s="36">
        <f t="shared" si="24"/>
        <v>0</v>
      </c>
      <c r="K113" s="36">
        <f t="shared" si="25"/>
        <v>0</v>
      </c>
      <c r="M113" s="96">
        <v>96</v>
      </c>
      <c r="N113" s="98">
        <f t="shared" si="26"/>
        <v>0</v>
      </c>
      <c r="O113" s="98">
        <f t="shared" si="28"/>
        <v>0</v>
      </c>
      <c r="P113" s="100">
        <f t="shared" si="27"/>
        <v>0</v>
      </c>
      <c r="Q113" s="100">
        <f t="shared" si="29"/>
        <v>3.14415160573844e-13</v>
      </c>
    </row>
    <row r="114" customHeight="1" spans="2:17">
      <c r="B114" s="96">
        <v>97</v>
      </c>
      <c r="C114" s="98">
        <f t="shared" ref="C114:C145" si="30">IF(B114&lt;$F$6,0,IF(B114&gt;$G$15,0,I114))</f>
        <v>0</v>
      </c>
      <c r="D114" s="98">
        <f t="shared" ref="D114:D145" si="31">IF(B114&lt;=$F$6,PRODUCT($E$15,$C$15),J114)</f>
        <v>0</v>
      </c>
      <c r="E114" s="100">
        <f t="shared" ref="E114:E145" si="32">C114+D114</f>
        <v>0</v>
      </c>
      <c r="H114" s="36">
        <v>97</v>
      </c>
      <c r="I114" s="36">
        <f t="shared" ref="I114:I145" si="33">IF(B114&lt;=$F$6,0,IF(B114&gt;$G$15,0,PPMT($C$15,B114-$F$6,$K$15,-$E$15)))</f>
        <v>0</v>
      </c>
      <c r="J114" s="36">
        <f t="shared" ref="J114:J145" si="34">IF(B114&lt;=$F$6,0,IF(B114&gt;$G$15,0,IF(I114=0,PRODUCT($E$15,$C$15),K114-I114)))</f>
        <v>0</v>
      </c>
      <c r="K114" s="36">
        <f t="shared" ref="K114:K145" si="35">IF(B114&lt;=$F$6,0,IF(B114&gt;$G$15,0,PMT($C$15,$K$15,-$E$15)))</f>
        <v>0</v>
      </c>
      <c r="M114" s="96">
        <v>97</v>
      </c>
      <c r="N114" s="98">
        <f t="shared" ref="N114:N145" si="36">IF(M114&gt;$G$15,0,$P$15/$R$15)</f>
        <v>0</v>
      </c>
      <c r="O114" s="98">
        <f t="shared" si="28"/>
        <v>0</v>
      </c>
      <c r="P114" s="100">
        <f t="shared" ref="P114:P145" si="37">N114+O114</f>
        <v>0</v>
      </c>
      <c r="Q114" s="100">
        <f t="shared" si="29"/>
        <v>3.14415160573844e-13</v>
      </c>
    </row>
    <row r="115" customHeight="1" spans="2:17">
      <c r="B115" s="96">
        <v>98</v>
      </c>
      <c r="C115" s="98">
        <f t="shared" si="30"/>
        <v>0</v>
      </c>
      <c r="D115" s="98">
        <f t="shared" si="31"/>
        <v>0</v>
      </c>
      <c r="E115" s="100">
        <f t="shared" si="32"/>
        <v>0</v>
      </c>
      <c r="H115" s="36">
        <v>98</v>
      </c>
      <c r="I115" s="36">
        <f t="shared" si="33"/>
        <v>0</v>
      </c>
      <c r="J115" s="36">
        <f t="shared" si="34"/>
        <v>0</v>
      </c>
      <c r="K115" s="36">
        <f t="shared" si="35"/>
        <v>0</v>
      </c>
      <c r="M115" s="96">
        <v>98</v>
      </c>
      <c r="N115" s="98">
        <f t="shared" si="36"/>
        <v>0</v>
      </c>
      <c r="O115" s="98">
        <f t="shared" ref="O115:O146" si="38">IF(M115&gt;$G$15,0,Q114*$N$15)</f>
        <v>0</v>
      </c>
      <c r="P115" s="100">
        <f t="shared" si="37"/>
        <v>0</v>
      </c>
      <c r="Q115" s="100">
        <f t="shared" ref="Q115:Q146" si="39">Q114-N115</f>
        <v>3.14415160573844e-13</v>
      </c>
    </row>
    <row r="116" customHeight="1" spans="2:17">
      <c r="B116" s="96">
        <v>99</v>
      </c>
      <c r="C116" s="98">
        <f t="shared" si="30"/>
        <v>0</v>
      </c>
      <c r="D116" s="98">
        <f t="shared" si="31"/>
        <v>0</v>
      </c>
      <c r="E116" s="100">
        <f t="shared" si="32"/>
        <v>0</v>
      </c>
      <c r="H116" s="36">
        <v>99</v>
      </c>
      <c r="I116" s="36">
        <f t="shared" si="33"/>
        <v>0</v>
      </c>
      <c r="J116" s="36">
        <f t="shared" si="34"/>
        <v>0</v>
      </c>
      <c r="K116" s="36">
        <f t="shared" si="35"/>
        <v>0</v>
      </c>
      <c r="M116" s="96">
        <v>99</v>
      </c>
      <c r="N116" s="98">
        <f t="shared" si="36"/>
        <v>0</v>
      </c>
      <c r="O116" s="98">
        <f t="shared" si="38"/>
        <v>0</v>
      </c>
      <c r="P116" s="100">
        <f t="shared" si="37"/>
        <v>0</v>
      </c>
      <c r="Q116" s="100">
        <f t="shared" si="39"/>
        <v>3.14415160573844e-13</v>
      </c>
    </row>
    <row r="117" customHeight="1" spans="2:17">
      <c r="B117" s="96">
        <v>100</v>
      </c>
      <c r="C117" s="98">
        <f t="shared" si="30"/>
        <v>0</v>
      </c>
      <c r="D117" s="98">
        <f t="shared" si="31"/>
        <v>0</v>
      </c>
      <c r="E117" s="100">
        <f t="shared" si="32"/>
        <v>0</v>
      </c>
      <c r="H117" s="36">
        <v>100</v>
      </c>
      <c r="I117" s="36">
        <f t="shared" si="33"/>
        <v>0</v>
      </c>
      <c r="J117" s="36">
        <f t="shared" si="34"/>
        <v>0</v>
      </c>
      <c r="K117" s="36">
        <f t="shared" si="35"/>
        <v>0</v>
      </c>
      <c r="M117" s="96">
        <v>100</v>
      </c>
      <c r="N117" s="98">
        <f t="shared" si="36"/>
        <v>0</v>
      </c>
      <c r="O117" s="98">
        <f t="shared" si="38"/>
        <v>0</v>
      </c>
      <c r="P117" s="100">
        <f t="shared" si="37"/>
        <v>0</v>
      </c>
      <c r="Q117" s="100">
        <f t="shared" si="39"/>
        <v>3.14415160573844e-13</v>
      </c>
    </row>
    <row r="118" customHeight="1" spans="2:17">
      <c r="B118" s="96">
        <v>101</v>
      </c>
      <c r="C118" s="98">
        <f t="shared" si="30"/>
        <v>0</v>
      </c>
      <c r="D118" s="98">
        <f t="shared" si="31"/>
        <v>0</v>
      </c>
      <c r="E118" s="100">
        <f t="shared" si="32"/>
        <v>0</v>
      </c>
      <c r="H118" s="36">
        <v>101</v>
      </c>
      <c r="I118" s="36">
        <f t="shared" si="33"/>
        <v>0</v>
      </c>
      <c r="J118" s="36">
        <f t="shared" si="34"/>
        <v>0</v>
      </c>
      <c r="K118" s="36">
        <f t="shared" si="35"/>
        <v>0</v>
      </c>
      <c r="M118" s="96">
        <v>101</v>
      </c>
      <c r="N118" s="98">
        <f t="shared" si="36"/>
        <v>0</v>
      </c>
      <c r="O118" s="98">
        <f t="shared" si="38"/>
        <v>0</v>
      </c>
      <c r="P118" s="100">
        <f t="shared" si="37"/>
        <v>0</v>
      </c>
      <c r="Q118" s="100">
        <f t="shared" si="39"/>
        <v>3.14415160573844e-13</v>
      </c>
    </row>
    <row r="119" customHeight="1" spans="2:17">
      <c r="B119" s="96">
        <v>102</v>
      </c>
      <c r="C119" s="98">
        <f t="shared" si="30"/>
        <v>0</v>
      </c>
      <c r="D119" s="98">
        <f t="shared" si="31"/>
        <v>0</v>
      </c>
      <c r="E119" s="100">
        <f t="shared" si="32"/>
        <v>0</v>
      </c>
      <c r="H119" s="36">
        <v>102</v>
      </c>
      <c r="I119" s="36">
        <f t="shared" si="33"/>
        <v>0</v>
      </c>
      <c r="J119" s="36">
        <f t="shared" si="34"/>
        <v>0</v>
      </c>
      <c r="K119" s="36">
        <f t="shared" si="35"/>
        <v>0</v>
      </c>
      <c r="M119" s="96">
        <v>102</v>
      </c>
      <c r="N119" s="98">
        <f t="shared" si="36"/>
        <v>0</v>
      </c>
      <c r="O119" s="98">
        <f t="shared" si="38"/>
        <v>0</v>
      </c>
      <c r="P119" s="100">
        <f t="shared" si="37"/>
        <v>0</v>
      </c>
      <c r="Q119" s="100">
        <f t="shared" si="39"/>
        <v>3.14415160573844e-13</v>
      </c>
    </row>
    <row r="120" customHeight="1" spans="2:17">
      <c r="B120" s="96">
        <v>103</v>
      </c>
      <c r="C120" s="98">
        <f t="shared" si="30"/>
        <v>0</v>
      </c>
      <c r="D120" s="98">
        <f t="shared" si="31"/>
        <v>0</v>
      </c>
      <c r="E120" s="100">
        <f t="shared" si="32"/>
        <v>0</v>
      </c>
      <c r="H120" s="36">
        <v>103</v>
      </c>
      <c r="I120" s="36">
        <f t="shared" si="33"/>
        <v>0</v>
      </c>
      <c r="J120" s="36">
        <f t="shared" si="34"/>
        <v>0</v>
      </c>
      <c r="K120" s="36">
        <f t="shared" si="35"/>
        <v>0</v>
      </c>
      <c r="M120" s="96">
        <v>103</v>
      </c>
      <c r="N120" s="98">
        <f t="shared" si="36"/>
        <v>0</v>
      </c>
      <c r="O120" s="98">
        <f t="shared" si="38"/>
        <v>0</v>
      </c>
      <c r="P120" s="100">
        <f t="shared" si="37"/>
        <v>0</v>
      </c>
      <c r="Q120" s="100">
        <f t="shared" si="39"/>
        <v>3.14415160573844e-13</v>
      </c>
    </row>
    <row r="121" customHeight="1" spans="2:17">
      <c r="B121" s="96">
        <v>104</v>
      </c>
      <c r="C121" s="98">
        <f t="shared" si="30"/>
        <v>0</v>
      </c>
      <c r="D121" s="98">
        <f t="shared" si="31"/>
        <v>0</v>
      </c>
      <c r="E121" s="100">
        <f t="shared" si="32"/>
        <v>0</v>
      </c>
      <c r="H121" s="36">
        <v>104</v>
      </c>
      <c r="I121" s="36">
        <f t="shared" si="33"/>
        <v>0</v>
      </c>
      <c r="J121" s="36">
        <f t="shared" si="34"/>
        <v>0</v>
      </c>
      <c r="K121" s="36">
        <f t="shared" si="35"/>
        <v>0</v>
      </c>
      <c r="M121" s="96">
        <v>104</v>
      </c>
      <c r="N121" s="98">
        <f t="shared" si="36"/>
        <v>0</v>
      </c>
      <c r="O121" s="98">
        <f t="shared" si="38"/>
        <v>0</v>
      </c>
      <c r="P121" s="100">
        <f t="shared" si="37"/>
        <v>0</v>
      </c>
      <c r="Q121" s="100">
        <f t="shared" si="39"/>
        <v>3.14415160573844e-13</v>
      </c>
    </row>
    <row r="122" customHeight="1" spans="2:17">
      <c r="B122" s="96">
        <v>105</v>
      </c>
      <c r="C122" s="98">
        <f t="shared" si="30"/>
        <v>0</v>
      </c>
      <c r="D122" s="98">
        <f t="shared" si="31"/>
        <v>0</v>
      </c>
      <c r="E122" s="100">
        <f t="shared" si="32"/>
        <v>0</v>
      </c>
      <c r="H122" s="36">
        <v>105</v>
      </c>
      <c r="I122" s="36">
        <f t="shared" si="33"/>
        <v>0</v>
      </c>
      <c r="J122" s="36">
        <f t="shared" si="34"/>
        <v>0</v>
      </c>
      <c r="K122" s="36">
        <f t="shared" si="35"/>
        <v>0</v>
      </c>
      <c r="M122" s="96">
        <v>105</v>
      </c>
      <c r="N122" s="98">
        <f t="shared" si="36"/>
        <v>0</v>
      </c>
      <c r="O122" s="98">
        <f t="shared" si="38"/>
        <v>0</v>
      </c>
      <c r="P122" s="100">
        <f t="shared" si="37"/>
        <v>0</v>
      </c>
      <c r="Q122" s="100">
        <f t="shared" si="39"/>
        <v>3.14415160573844e-13</v>
      </c>
    </row>
    <row r="123" customHeight="1" spans="2:17">
      <c r="B123" s="96">
        <v>106</v>
      </c>
      <c r="C123" s="98">
        <f t="shared" si="30"/>
        <v>0</v>
      </c>
      <c r="D123" s="98">
        <f t="shared" si="31"/>
        <v>0</v>
      </c>
      <c r="E123" s="100">
        <f t="shared" si="32"/>
        <v>0</v>
      </c>
      <c r="H123" s="36">
        <v>106</v>
      </c>
      <c r="I123" s="36">
        <f t="shared" si="33"/>
        <v>0</v>
      </c>
      <c r="J123" s="36">
        <f t="shared" si="34"/>
        <v>0</v>
      </c>
      <c r="K123" s="36">
        <f t="shared" si="35"/>
        <v>0</v>
      </c>
      <c r="M123" s="96">
        <v>106</v>
      </c>
      <c r="N123" s="98">
        <f t="shared" si="36"/>
        <v>0</v>
      </c>
      <c r="O123" s="98">
        <f t="shared" si="38"/>
        <v>0</v>
      </c>
      <c r="P123" s="100">
        <f t="shared" si="37"/>
        <v>0</v>
      </c>
      <c r="Q123" s="100">
        <f t="shared" si="39"/>
        <v>3.14415160573844e-13</v>
      </c>
    </row>
    <row r="124" customHeight="1" spans="2:17">
      <c r="B124" s="96">
        <v>107</v>
      </c>
      <c r="C124" s="98">
        <f t="shared" si="30"/>
        <v>0</v>
      </c>
      <c r="D124" s="98">
        <f t="shared" si="31"/>
        <v>0</v>
      </c>
      <c r="E124" s="100">
        <f t="shared" si="32"/>
        <v>0</v>
      </c>
      <c r="H124" s="36">
        <v>107</v>
      </c>
      <c r="I124" s="36">
        <f t="shared" si="33"/>
        <v>0</v>
      </c>
      <c r="J124" s="36">
        <f t="shared" si="34"/>
        <v>0</v>
      </c>
      <c r="K124" s="36">
        <f t="shared" si="35"/>
        <v>0</v>
      </c>
      <c r="M124" s="96">
        <v>107</v>
      </c>
      <c r="N124" s="98">
        <f t="shared" si="36"/>
        <v>0</v>
      </c>
      <c r="O124" s="98">
        <f t="shared" si="38"/>
        <v>0</v>
      </c>
      <c r="P124" s="100">
        <f t="shared" si="37"/>
        <v>0</v>
      </c>
      <c r="Q124" s="100">
        <f t="shared" si="39"/>
        <v>3.14415160573844e-13</v>
      </c>
    </row>
    <row r="125" customHeight="1" spans="2:17">
      <c r="B125" s="96">
        <v>108</v>
      </c>
      <c r="C125" s="98">
        <f t="shared" si="30"/>
        <v>0</v>
      </c>
      <c r="D125" s="98">
        <f t="shared" si="31"/>
        <v>0</v>
      </c>
      <c r="E125" s="100">
        <f t="shared" si="32"/>
        <v>0</v>
      </c>
      <c r="H125" s="36">
        <v>108</v>
      </c>
      <c r="I125" s="36">
        <f t="shared" si="33"/>
        <v>0</v>
      </c>
      <c r="J125" s="36">
        <f t="shared" si="34"/>
        <v>0</v>
      </c>
      <c r="K125" s="36">
        <f t="shared" si="35"/>
        <v>0</v>
      </c>
      <c r="M125" s="96">
        <v>108</v>
      </c>
      <c r="N125" s="98">
        <f t="shared" si="36"/>
        <v>0</v>
      </c>
      <c r="O125" s="98">
        <f t="shared" si="38"/>
        <v>0</v>
      </c>
      <c r="P125" s="100">
        <f t="shared" si="37"/>
        <v>0</v>
      </c>
      <c r="Q125" s="100">
        <f t="shared" si="39"/>
        <v>3.14415160573844e-13</v>
      </c>
    </row>
    <row r="126" customHeight="1" spans="2:17">
      <c r="B126" s="96">
        <v>109</v>
      </c>
      <c r="C126" s="98">
        <f t="shared" si="30"/>
        <v>0</v>
      </c>
      <c r="D126" s="98">
        <f t="shared" si="31"/>
        <v>0</v>
      </c>
      <c r="E126" s="100">
        <f t="shared" si="32"/>
        <v>0</v>
      </c>
      <c r="H126" s="36">
        <v>109</v>
      </c>
      <c r="I126" s="36">
        <f t="shared" si="33"/>
        <v>0</v>
      </c>
      <c r="J126" s="36">
        <f t="shared" si="34"/>
        <v>0</v>
      </c>
      <c r="K126" s="36">
        <f t="shared" si="35"/>
        <v>0</v>
      </c>
      <c r="M126" s="96">
        <v>109</v>
      </c>
      <c r="N126" s="98">
        <f t="shared" si="36"/>
        <v>0</v>
      </c>
      <c r="O126" s="98">
        <f t="shared" si="38"/>
        <v>0</v>
      </c>
      <c r="P126" s="100">
        <f t="shared" si="37"/>
        <v>0</v>
      </c>
      <c r="Q126" s="100">
        <f t="shared" si="39"/>
        <v>3.14415160573844e-13</v>
      </c>
    </row>
    <row r="127" customHeight="1" spans="2:17">
      <c r="B127" s="96">
        <v>110</v>
      </c>
      <c r="C127" s="98">
        <f t="shared" si="30"/>
        <v>0</v>
      </c>
      <c r="D127" s="98">
        <f t="shared" si="31"/>
        <v>0</v>
      </c>
      <c r="E127" s="100">
        <f t="shared" si="32"/>
        <v>0</v>
      </c>
      <c r="H127" s="36">
        <v>110</v>
      </c>
      <c r="I127" s="36">
        <f t="shared" si="33"/>
        <v>0</v>
      </c>
      <c r="J127" s="36">
        <f t="shared" si="34"/>
        <v>0</v>
      </c>
      <c r="K127" s="36">
        <f t="shared" si="35"/>
        <v>0</v>
      </c>
      <c r="M127" s="96">
        <v>110</v>
      </c>
      <c r="N127" s="98">
        <f t="shared" si="36"/>
        <v>0</v>
      </c>
      <c r="O127" s="98">
        <f t="shared" si="38"/>
        <v>0</v>
      </c>
      <c r="P127" s="100">
        <f t="shared" si="37"/>
        <v>0</v>
      </c>
      <c r="Q127" s="100">
        <f t="shared" si="39"/>
        <v>3.14415160573844e-13</v>
      </c>
    </row>
    <row r="128" customHeight="1" spans="2:17">
      <c r="B128" s="96">
        <v>111</v>
      </c>
      <c r="C128" s="98">
        <f t="shared" si="30"/>
        <v>0</v>
      </c>
      <c r="D128" s="98">
        <f t="shared" si="31"/>
        <v>0</v>
      </c>
      <c r="E128" s="100">
        <f t="shared" si="32"/>
        <v>0</v>
      </c>
      <c r="H128" s="36">
        <v>111</v>
      </c>
      <c r="I128" s="36">
        <f t="shared" si="33"/>
        <v>0</v>
      </c>
      <c r="J128" s="36">
        <f t="shared" si="34"/>
        <v>0</v>
      </c>
      <c r="K128" s="36">
        <f t="shared" si="35"/>
        <v>0</v>
      </c>
      <c r="M128" s="96">
        <v>111</v>
      </c>
      <c r="N128" s="98">
        <f t="shared" si="36"/>
        <v>0</v>
      </c>
      <c r="O128" s="98">
        <f t="shared" si="38"/>
        <v>0</v>
      </c>
      <c r="P128" s="100">
        <f t="shared" si="37"/>
        <v>0</v>
      </c>
      <c r="Q128" s="100">
        <f t="shared" si="39"/>
        <v>3.14415160573844e-13</v>
      </c>
    </row>
    <row r="129" customHeight="1" spans="2:17">
      <c r="B129" s="96">
        <v>112</v>
      </c>
      <c r="C129" s="98">
        <f t="shared" si="30"/>
        <v>0</v>
      </c>
      <c r="D129" s="98">
        <f t="shared" si="31"/>
        <v>0</v>
      </c>
      <c r="E129" s="100">
        <f t="shared" si="32"/>
        <v>0</v>
      </c>
      <c r="H129" s="36">
        <v>112</v>
      </c>
      <c r="I129" s="36">
        <f t="shared" si="33"/>
        <v>0</v>
      </c>
      <c r="J129" s="36">
        <f t="shared" si="34"/>
        <v>0</v>
      </c>
      <c r="K129" s="36">
        <f t="shared" si="35"/>
        <v>0</v>
      </c>
      <c r="M129" s="96">
        <v>112</v>
      </c>
      <c r="N129" s="98">
        <f t="shared" si="36"/>
        <v>0</v>
      </c>
      <c r="O129" s="98">
        <f t="shared" si="38"/>
        <v>0</v>
      </c>
      <c r="P129" s="100">
        <f t="shared" si="37"/>
        <v>0</v>
      </c>
      <c r="Q129" s="100">
        <f t="shared" si="39"/>
        <v>3.14415160573844e-13</v>
      </c>
    </row>
    <row r="130" customHeight="1" spans="2:17">
      <c r="B130" s="96">
        <v>113</v>
      </c>
      <c r="C130" s="98">
        <f t="shared" si="30"/>
        <v>0</v>
      </c>
      <c r="D130" s="98">
        <f t="shared" si="31"/>
        <v>0</v>
      </c>
      <c r="E130" s="100">
        <f t="shared" si="32"/>
        <v>0</v>
      </c>
      <c r="H130" s="36">
        <v>113</v>
      </c>
      <c r="I130" s="36">
        <f t="shared" si="33"/>
        <v>0</v>
      </c>
      <c r="J130" s="36">
        <f t="shared" si="34"/>
        <v>0</v>
      </c>
      <c r="K130" s="36">
        <f t="shared" si="35"/>
        <v>0</v>
      </c>
      <c r="M130" s="96">
        <v>113</v>
      </c>
      <c r="N130" s="98">
        <f t="shared" si="36"/>
        <v>0</v>
      </c>
      <c r="O130" s="98">
        <f t="shared" si="38"/>
        <v>0</v>
      </c>
      <c r="P130" s="100">
        <f t="shared" si="37"/>
        <v>0</v>
      </c>
      <c r="Q130" s="100">
        <f t="shared" si="39"/>
        <v>3.14415160573844e-13</v>
      </c>
    </row>
    <row r="131" customHeight="1" spans="2:17">
      <c r="B131" s="96">
        <v>114</v>
      </c>
      <c r="C131" s="98">
        <f t="shared" si="30"/>
        <v>0</v>
      </c>
      <c r="D131" s="98">
        <f t="shared" si="31"/>
        <v>0</v>
      </c>
      <c r="E131" s="100">
        <f t="shared" si="32"/>
        <v>0</v>
      </c>
      <c r="H131" s="36">
        <v>114</v>
      </c>
      <c r="I131" s="36">
        <f t="shared" si="33"/>
        <v>0</v>
      </c>
      <c r="J131" s="36">
        <f t="shared" si="34"/>
        <v>0</v>
      </c>
      <c r="K131" s="36">
        <f t="shared" si="35"/>
        <v>0</v>
      </c>
      <c r="M131" s="96">
        <v>114</v>
      </c>
      <c r="N131" s="98">
        <f t="shared" si="36"/>
        <v>0</v>
      </c>
      <c r="O131" s="98">
        <f t="shared" si="38"/>
        <v>0</v>
      </c>
      <c r="P131" s="100">
        <f t="shared" si="37"/>
        <v>0</v>
      </c>
      <c r="Q131" s="100">
        <f t="shared" si="39"/>
        <v>3.14415160573844e-13</v>
      </c>
    </row>
    <row r="132" customHeight="1" spans="2:17">
      <c r="B132" s="96">
        <v>115</v>
      </c>
      <c r="C132" s="98">
        <f t="shared" si="30"/>
        <v>0</v>
      </c>
      <c r="D132" s="98">
        <f t="shared" si="31"/>
        <v>0</v>
      </c>
      <c r="E132" s="100">
        <f t="shared" si="32"/>
        <v>0</v>
      </c>
      <c r="H132" s="36">
        <v>115</v>
      </c>
      <c r="I132" s="36">
        <f t="shared" si="33"/>
        <v>0</v>
      </c>
      <c r="J132" s="36">
        <f t="shared" si="34"/>
        <v>0</v>
      </c>
      <c r="K132" s="36">
        <f t="shared" si="35"/>
        <v>0</v>
      </c>
      <c r="M132" s="96">
        <v>115</v>
      </c>
      <c r="N132" s="98">
        <f t="shared" si="36"/>
        <v>0</v>
      </c>
      <c r="O132" s="98">
        <f t="shared" si="38"/>
        <v>0</v>
      </c>
      <c r="P132" s="100">
        <f t="shared" si="37"/>
        <v>0</v>
      </c>
      <c r="Q132" s="100">
        <f t="shared" si="39"/>
        <v>3.14415160573844e-13</v>
      </c>
    </row>
    <row r="133" customHeight="1" spans="2:17">
      <c r="B133" s="96">
        <v>116</v>
      </c>
      <c r="C133" s="98">
        <f t="shared" si="30"/>
        <v>0</v>
      </c>
      <c r="D133" s="98">
        <f t="shared" si="31"/>
        <v>0</v>
      </c>
      <c r="E133" s="100">
        <f t="shared" si="32"/>
        <v>0</v>
      </c>
      <c r="H133" s="36">
        <v>116</v>
      </c>
      <c r="I133" s="36">
        <f t="shared" si="33"/>
        <v>0</v>
      </c>
      <c r="J133" s="36">
        <f t="shared" si="34"/>
        <v>0</v>
      </c>
      <c r="K133" s="36">
        <f t="shared" si="35"/>
        <v>0</v>
      </c>
      <c r="M133" s="96">
        <v>116</v>
      </c>
      <c r="N133" s="98">
        <f t="shared" si="36"/>
        <v>0</v>
      </c>
      <c r="O133" s="98">
        <f t="shared" si="38"/>
        <v>0</v>
      </c>
      <c r="P133" s="100">
        <f t="shared" si="37"/>
        <v>0</v>
      </c>
      <c r="Q133" s="100">
        <f t="shared" si="39"/>
        <v>3.14415160573844e-13</v>
      </c>
    </row>
    <row r="134" customHeight="1" spans="2:17">
      <c r="B134" s="96">
        <v>117</v>
      </c>
      <c r="C134" s="98">
        <f t="shared" si="30"/>
        <v>0</v>
      </c>
      <c r="D134" s="98">
        <f t="shared" si="31"/>
        <v>0</v>
      </c>
      <c r="E134" s="100">
        <f t="shared" si="32"/>
        <v>0</v>
      </c>
      <c r="H134" s="36">
        <v>117</v>
      </c>
      <c r="I134" s="36">
        <f t="shared" si="33"/>
        <v>0</v>
      </c>
      <c r="J134" s="36">
        <f t="shared" si="34"/>
        <v>0</v>
      </c>
      <c r="K134" s="36">
        <f t="shared" si="35"/>
        <v>0</v>
      </c>
      <c r="M134" s="96">
        <v>117</v>
      </c>
      <c r="N134" s="98">
        <f t="shared" si="36"/>
        <v>0</v>
      </c>
      <c r="O134" s="98">
        <f t="shared" si="38"/>
        <v>0</v>
      </c>
      <c r="P134" s="100">
        <f t="shared" si="37"/>
        <v>0</v>
      </c>
      <c r="Q134" s="100">
        <f t="shared" si="39"/>
        <v>3.14415160573844e-13</v>
      </c>
    </row>
    <row r="135" customHeight="1" spans="2:17">
      <c r="B135" s="96">
        <v>118</v>
      </c>
      <c r="C135" s="98">
        <f t="shared" si="30"/>
        <v>0</v>
      </c>
      <c r="D135" s="98">
        <f t="shared" si="31"/>
        <v>0</v>
      </c>
      <c r="E135" s="100">
        <f t="shared" si="32"/>
        <v>0</v>
      </c>
      <c r="H135" s="36">
        <v>118</v>
      </c>
      <c r="I135" s="36">
        <f t="shared" si="33"/>
        <v>0</v>
      </c>
      <c r="J135" s="36">
        <f t="shared" si="34"/>
        <v>0</v>
      </c>
      <c r="K135" s="36">
        <f t="shared" si="35"/>
        <v>0</v>
      </c>
      <c r="M135" s="96">
        <v>118</v>
      </c>
      <c r="N135" s="98">
        <f t="shared" si="36"/>
        <v>0</v>
      </c>
      <c r="O135" s="98">
        <f t="shared" si="38"/>
        <v>0</v>
      </c>
      <c r="P135" s="100">
        <f t="shared" si="37"/>
        <v>0</v>
      </c>
      <c r="Q135" s="100">
        <f t="shared" si="39"/>
        <v>3.14415160573844e-13</v>
      </c>
    </row>
    <row r="136" customHeight="1" spans="2:17">
      <c r="B136" s="96">
        <v>119</v>
      </c>
      <c r="C136" s="98">
        <f t="shared" si="30"/>
        <v>0</v>
      </c>
      <c r="D136" s="98">
        <f t="shared" si="31"/>
        <v>0</v>
      </c>
      <c r="E136" s="100">
        <f t="shared" si="32"/>
        <v>0</v>
      </c>
      <c r="H136" s="36">
        <v>119</v>
      </c>
      <c r="I136" s="36">
        <f t="shared" si="33"/>
        <v>0</v>
      </c>
      <c r="J136" s="36">
        <f t="shared" si="34"/>
        <v>0</v>
      </c>
      <c r="K136" s="36">
        <f t="shared" si="35"/>
        <v>0</v>
      </c>
      <c r="M136" s="96">
        <v>119</v>
      </c>
      <c r="N136" s="98">
        <f t="shared" si="36"/>
        <v>0</v>
      </c>
      <c r="O136" s="98">
        <f t="shared" si="38"/>
        <v>0</v>
      </c>
      <c r="P136" s="100">
        <f t="shared" si="37"/>
        <v>0</v>
      </c>
      <c r="Q136" s="100">
        <f t="shared" si="39"/>
        <v>3.14415160573844e-13</v>
      </c>
    </row>
    <row r="137" customHeight="1" spans="2:17">
      <c r="B137" s="96">
        <v>120</v>
      </c>
      <c r="C137" s="98">
        <f t="shared" si="30"/>
        <v>0</v>
      </c>
      <c r="D137" s="98">
        <f t="shared" si="31"/>
        <v>0</v>
      </c>
      <c r="E137" s="100">
        <f t="shared" si="32"/>
        <v>0</v>
      </c>
      <c r="H137" s="36">
        <v>120</v>
      </c>
      <c r="I137" s="36">
        <f t="shared" si="33"/>
        <v>0</v>
      </c>
      <c r="J137" s="36">
        <f t="shared" si="34"/>
        <v>0</v>
      </c>
      <c r="K137" s="36">
        <f t="shared" si="35"/>
        <v>0</v>
      </c>
      <c r="M137" s="96">
        <v>120</v>
      </c>
      <c r="N137" s="98">
        <f t="shared" si="36"/>
        <v>0</v>
      </c>
      <c r="O137" s="98">
        <f t="shared" si="38"/>
        <v>0</v>
      </c>
      <c r="P137" s="100">
        <f t="shared" si="37"/>
        <v>0</v>
      </c>
      <c r="Q137" s="100">
        <f t="shared" si="39"/>
        <v>3.14415160573844e-13</v>
      </c>
    </row>
    <row r="138" customHeight="1" spans="2:17">
      <c r="B138" s="96">
        <v>121</v>
      </c>
      <c r="C138" s="98">
        <f t="shared" si="30"/>
        <v>0</v>
      </c>
      <c r="D138" s="98">
        <f t="shared" si="31"/>
        <v>0</v>
      </c>
      <c r="E138" s="100">
        <f t="shared" si="32"/>
        <v>0</v>
      </c>
      <c r="H138" s="36">
        <v>121</v>
      </c>
      <c r="I138" s="36">
        <f t="shared" si="33"/>
        <v>0</v>
      </c>
      <c r="J138" s="36">
        <f t="shared" si="34"/>
        <v>0</v>
      </c>
      <c r="K138" s="36">
        <f t="shared" si="35"/>
        <v>0</v>
      </c>
      <c r="M138" s="96">
        <v>121</v>
      </c>
      <c r="N138" s="98">
        <f t="shared" si="36"/>
        <v>0</v>
      </c>
      <c r="O138" s="98">
        <f t="shared" si="38"/>
        <v>0</v>
      </c>
      <c r="P138" s="100">
        <f t="shared" si="37"/>
        <v>0</v>
      </c>
      <c r="Q138" s="100">
        <f t="shared" si="39"/>
        <v>3.14415160573844e-13</v>
      </c>
    </row>
    <row r="139" customHeight="1" spans="2:17">
      <c r="B139" s="96">
        <v>122</v>
      </c>
      <c r="C139" s="98">
        <f t="shared" si="30"/>
        <v>0</v>
      </c>
      <c r="D139" s="98">
        <f t="shared" si="31"/>
        <v>0</v>
      </c>
      <c r="E139" s="100">
        <f t="shared" si="32"/>
        <v>0</v>
      </c>
      <c r="H139" s="36">
        <v>122</v>
      </c>
      <c r="I139" s="36">
        <f t="shared" si="33"/>
        <v>0</v>
      </c>
      <c r="J139" s="36">
        <f t="shared" si="34"/>
        <v>0</v>
      </c>
      <c r="K139" s="36">
        <f t="shared" si="35"/>
        <v>0</v>
      </c>
      <c r="M139" s="96">
        <v>122</v>
      </c>
      <c r="N139" s="98">
        <f t="shared" si="36"/>
        <v>0</v>
      </c>
      <c r="O139" s="98">
        <f t="shared" si="38"/>
        <v>0</v>
      </c>
      <c r="P139" s="100">
        <f t="shared" si="37"/>
        <v>0</v>
      </c>
      <c r="Q139" s="100">
        <f t="shared" si="39"/>
        <v>3.14415160573844e-13</v>
      </c>
    </row>
    <row r="140" customHeight="1" spans="2:17">
      <c r="B140" s="96">
        <v>123</v>
      </c>
      <c r="C140" s="98">
        <f t="shared" si="30"/>
        <v>0</v>
      </c>
      <c r="D140" s="98">
        <f t="shared" si="31"/>
        <v>0</v>
      </c>
      <c r="E140" s="100">
        <f t="shared" si="32"/>
        <v>0</v>
      </c>
      <c r="H140" s="36">
        <v>123</v>
      </c>
      <c r="I140" s="36">
        <f t="shared" si="33"/>
        <v>0</v>
      </c>
      <c r="J140" s="36">
        <f t="shared" si="34"/>
        <v>0</v>
      </c>
      <c r="K140" s="36">
        <f t="shared" si="35"/>
        <v>0</v>
      </c>
      <c r="M140" s="96">
        <v>123</v>
      </c>
      <c r="N140" s="98">
        <f t="shared" si="36"/>
        <v>0</v>
      </c>
      <c r="O140" s="98">
        <f t="shared" si="38"/>
        <v>0</v>
      </c>
      <c r="P140" s="100">
        <f t="shared" si="37"/>
        <v>0</v>
      </c>
      <c r="Q140" s="100">
        <f t="shared" si="39"/>
        <v>3.14415160573844e-13</v>
      </c>
    </row>
    <row r="141" customHeight="1" spans="2:17">
      <c r="B141" s="96">
        <v>124</v>
      </c>
      <c r="C141" s="98">
        <f t="shared" si="30"/>
        <v>0</v>
      </c>
      <c r="D141" s="98">
        <f t="shared" si="31"/>
        <v>0</v>
      </c>
      <c r="E141" s="100">
        <f t="shared" si="32"/>
        <v>0</v>
      </c>
      <c r="H141" s="36">
        <v>124</v>
      </c>
      <c r="I141" s="36">
        <f t="shared" si="33"/>
        <v>0</v>
      </c>
      <c r="J141" s="36">
        <f t="shared" si="34"/>
        <v>0</v>
      </c>
      <c r="K141" s="36">
        <f t="shared" si="35"/>
        <v>0</v>
      </c>
      <c r="M141" s="96">
        <v>124</v>
      </c>
      <c r="N141" s="98">
        <f t="shared" si="36"/>
        <v>0</v>
      </c>
      <c r="O141" s="98">
        <f t="shared" si="38"/>
        <v>0</v>
      </c>
      <c r="P141" s="100">
        <f t="shared" si="37"/>
        <v>0</v>
      </c>
      <c r="Q141" s="100">
        <f t="shared" si="39"/>
        <v>3.14415160573844e-13</v>
      </c>
    </row>
    <row r="142" customHeight="1" spans="2:17">
      <c r="B142" s="96">
        <v>125</v>
      </c>
      <c r="C142" s="98">
        <f t="shared" si="30"/>
        <v>0</v>
      </c>
      <c r="D142" s="98">
        <f t="shared" si="31"/>
        <v>0</v>
      </c>
      <c r="E142" s="100">
        <f t="shared" si="32"/>
        <v>0</v>
      </c>
      <c r="H142" s="36">
        <v>125</v>
      </c>
      <c r="I142" s="36">
        <f t="shared" si="33"/>
        <v>0</v>
      </c>
      <c r="J142" s="36">
        <f t="shared" si="34"/>
        <v>0</v>
      </c>
      <c r="K142" s="36">
        <f t="shared" si="35"/>
        <v>0</v>
      </c>
      <c r="M142" s="96">
        <v>125</v>
      </c>
      <c r="N142" s="98">
        <f t="shared" si="36"/>
        <v>0</v>
      </c>
      <c r="O142" s="98">
        <f t="shared" si="38"/>
        <v>0</v>
      </c>
      <c r="P142" s="100">
        <f t="shared" si="37"/>
        <v>0</v>
      </c>
      <c r="Q142" s="100">
        <f t="shared" si="39"/>
        <v>3.14415160573844e-13</v>
      </c>
    </row>
    <row r="143" customHeight="1" spans="2:17">
      <c r="B143" s="96">
        <v>126</v>
      </c>
      <c r="C143" s="98">
        <f t="shared" si="30"/>
        <v>0</v>
      </c>
      <c r="D143" s="98">
        <f t="shared" si="31"/>
        <v>0</v>
      </c>
      <c r="E143" s="100">
        <f t="shared" si="32"/>
        <v>0</v>
      </c>
      <c r="H143" s="36">
        <v>126</v>
      </c>
      <c r="I143" s="36">
        <f t="shared" si="33"/>
        <v>0</v>
      </c>
      <c r="J143" s="36">
        <f t="shared" si="34"/>
        <v>0</v>
      </c>
      <c r="K143" s="36">
        <f t="shared" si="35"/>
        <v>0</v>
      </c>
      <c r="M143" s="96">
        <v>126</v>
      </c>
      <c r="N143" s="98">
        <f t="shared" si="36"/>
        <v>0</v>
      </c>
      <c r="O143" s="98">
        <f t="shared" si="38"/>
        <v>0</v>
      </c>
      <c r="P143" s="100">
        <f t="shared" si="37"/>
        <v>0</v>
      </c>
      <c r="Q143" s="100">
        <f t="shared" si="39"/>
        <v>3.14415160573844e-13</v>
      </c>
    </row>
    <row r="144" customHeight="1" spans="2:17">
      <c r="B144" s="96">
        <v>127</v>
      </c>
      <c r="C144" s="98">
        <f t="shared" si="30"/>
        <v>0</v>
      </c>
      <c r="D144" s="98">
        <f t="shared" si="31"/>
        <v>0</v>
      </c>
      <c r="E144" s="100">
        <f t="shared" si="32"/>
        <v>0</v>
      </c>
      <c r="H144" s="36">
        <v>127</v>
      </c>
      <c r="I144" s="36">
        <f t="shared" si="33"/>
        <v>0</v>
      </c>
      <c r="J144" s="36">
        <f t="shared" si="34"/>
        <v>0</v>
      </c>
      <c r="K144" s="36">
        <f t="shared" si="35"/>
        <v>0</v>
      </c>
      <c r="M144" s="96">
        <v>127</v>
      </c>
      <c r="N144" s="98">
        <f t="shared" si="36"/>
        <v>0</v>
      </c>
      <c r="O144" s="98">
        <f t="shared" si="38"/>
        <v>0</v>
      </c>
      <c r="P144" s="100">
        <f t="shared" si="37"/>
        <v>0</v>
      </c>
      <c r="Q144" s="100">
        <f t="shared" si="39"/>
        <v>3.14415160573844e-13</v>
      </c>
    </row>
    <row r="145" customHeight="1" spans="2:17">
      <c r="B145" s="96">
        <v>128</v>
      </c>
      <c r="C145" s="98">
        <f t="shared" si="30"/>
        <v>0</v>
      </c>
      <c r="D145" s="98">
        <f t="shared" si="31"/>
        <v>0</v>
      </c>
      <c r="E145" s="100">
        <f t="shared" si="32"/>
        <v>0</v>
      </c>
      <c r="H145" s="36">
        <v>128</v>
      </c>
      <c r="I145" s="36">
        <f t="shared" si="33"/>
        <v>0</v>
      </c>
      <c r="J145" s="36">
        <f t="shared" si="34"/>
        <v>0</v>
      </c>
      <c r="K145" s="36">
        <f t="shared" si="35"/>
        <v>0</v>
      </c>
      <c r="M145" s="96">
        <v>128</v>
      </c>
      <c r="N145" s="98">
        <f t="shared" si="36"/>
        <v>0</v>
      </c>
      <c r="O145" s="98">
        <f t="shared" si="38"/>
        <v>0</v>
      </c>
      <c r="P145" s="100">
        <f t="shared" si="37"/>
        <v>0</v>
      </c>
      <c r="Q145" s="100">
        <f t="shared" si="39"/>
        <v>3.14415160573844e-13</v>
      </c>
    </row>
    <row r="146" customHeight="1" spans="2:17">
      <c r="B146" s="96">
        <v>129</v>
      </c>
      <c r="C146" s="98">
        <f t="shared" ref="C146:C177" si="40">IF(B146&lt;$F$6,0,IF(B146&gt;$G$15,0,I146))</f>
        <v>0</v>
      </c>
      <c r="D146" s="98">
        <f t="shared" ref="D146:D177" si="41">IF(B146&lt;=$F$6,PRODUCT($E$15,$C$15),J146)</f>
        <v>0</v>
      </c>
      <c r="E146" s="100">
        <f t="shared" ref="E146:E177" si="42">C146+D146</f>
        <v>0</v>
      </c>
      <c r="H146" s="36">
        <v>129</v>
      </c>
      <c r="I146" s="36">
        <f t="shared" ref="I146:I177" si="43">IF(B146&lt;=$F$6,0,IF(B146&gt;$G$15,0,PPMT($C$15,B146-$F$6,$K$15,-$E$15)))</f>
        <v>0</v>
      </c>
      <c r="J146" s="36">
        <f t="shared" ref="J146:J177" si="44">IF(B146&lt;=$F$6,0,IF(B146&gt;$G$15,0,IF(I146=0,PRODUCT($E$15,$C$15),K146-I146)))</f>
        <v>0</v>
      </c>
      <c r="K146" s="36">
        <f t="shared" ref="K146:K177" si="45">IF(B146&lt;=$F$6,0,IF(B146&gt;$G$15,0,PMT($C$15,$K$15,-$E$15)))</f>
        <v>0</v>
      </c>
      <c r="M146" s="96">
        <v>129</v>
      </c>
      <c r="N146" s="98">
        <f t="shared" ref="N146:N177" si="46">IF(M146&gt;$G$15,0,$P$15/$R$15)</f>
        <v>0</v>
      </c>
      <c r="O146" s="98">
        <f t="shared" si="38"/>
        <v>0</v>
      </c>
      <c r="P146" s="100">
        <f t="shared" ref="P146:P177" si="47">N146+O146</f>
        <v>0</v>
      </c>
      <c r="Q146" s="100">
        <f t="shared" si="39"/>
        <v>3.14415160573844e-13</v>
      </c>
    </row>
    <row r="147" customHeight="1" spans="2:17">
      <c r="B147" s="96">
        <v>130</v>
      </c>
      <c r="C147" s="98">
        <f t="shared" si="40"/>
        <v>0</v>
      </c>
      <c r="D147" s="98">
        <f t="shared" si="41"/>
        <v>0</v>
      </c>
      <c r="E147" s="100">
        <f t="shared" si="42"/>
        <v>0</v>
      </c>
      <c r="H147" s="36">
        <v>130</v>
      </c>
      <c r="I147" s="36">
        <f t="shared" si="43"/>
        <v>0</v>
      </c>
      <c r="J147" s="36">
        <f t="shared" si="44"/>
        <v>0</v>
      </c>
      <c r="K147" s="36">
        <f t="shared" si="45"/>
        <v>0</v>
      </c>
      <c r="M147" s="96">
        <v>130</v>
      </c>
      <c r="N147" s="98">
        <f t="shared" si="46"/>
        <v>0</v>
      </c>
      <c r="O147" s="98">
        <f t="shared" ref="O147:O178" si="48">IF(M147&gt;$G$15,0,Q146*$N$15)</f>
        <v>0</v>
      </c>
      <c r="P147" s="100">
        <f t="shared" si="47"/>
        <v>0</v>
      </c>
      <c r="Q147" s="100">
        <f t="shared" ref="Q147:Q178" si="49">Q146-N147</f>
        <v>3.14415160573844e-13</v>
      </c>
    </row>
    <row r="148" customHeight="1" spans="2:17">
      <c r="B148" s="96">
        <v>131</v>
      </c>
      <c r="C148" s="98">
        <f t="shared" si="40"/>
        <v>0</v>
      </c>
      <c r="D148" s="98">
        <f t="shared" si="41"/>
        <v>0</v>
      </c>
      <c r="E148" s="100">
        <f t="shared" si="42"/>
        <v>0</v>
      </c>
      <c r="H148" s="36">
        <v>131</v>
      </c>
      <c r="I148" s="36">
        <f t="shared" si="43"/>
        <v>0</v>
      </c>
      <c r="J148" s="36">
        <f t="shared" si="44"/>
        <v>0</v>
      </c>
      <c r="K148" s="36">
        <f t="shared" si="45"/>
        <v>0</v>
      </c>
      <c r="M148" s="96">
        <v>131</v>
      </c>
      <c r="N148" s="98">
        <f t="shared" si="46"/>
        <v>0</v>
      </c>
      <c r="O148" s="98">
        <f t="shared" si="48"/>
        <v>0</v>
      </c>
      <c r="P148" s="100">
        <f t="shared" si="47"/>
        <v>0</v>
      </c>
      <c r="Q148" s="100">
        <f t="shared" si="49"/>
        <v>3.14415160573844e-13</v>
      </c>
    </row>
    <row r="149" customHeight="1" spans="2:17">
      <c r="B149" s="96">
        <v>132</v>
      </c>
      <c r="C149" s="98">
        <f t="shared" si="40"/>
        <v>0</v>
      </c>
      <c r="D149" s="98">
        <f t="shared" si="41"/>
        <v>0</v>
      </c>
      <c r="E149" s="100">
        <f t="shared" si="42"/>
        <v>0</v>
      </c>
      <c r="H149" s="36">
        <v>132</v>
      </c>
      <c r="I149" s="36">
        <f t="shared" si="43"/>
        <v>0</v>
      </c>
      <c r="J149" s="36">
        <f t="shared" si="44"/>
        <v>0</v>
      </c>
      <c r="K149" s="36">
        <f t="shared" si="45"/>
        <v>0</v>
      </c>
      <c r="M149" s="96">
        <v>132</v>
      </c>
      <c r="N149" s="98">
        <f t="shared" si="46"/>
        <v>0</v>
      </c>
      <c r="O149" s="98">
        <f t="shared" si="48"/>
        <v>0</v>
      </c>
      <c r="P149" s="100">
        <f t="shared" si="47"/>
        <v>0</v>
      </c>
      <c r="Q149" s="100">
        <f t="shared" si="49"/>
        <v>3.14415160573844e-13</v>
      </c>
    </row>
    <row r="150" customHeight="1" spans="2:17">
      <c r="B150" s="96">
        <v>133</v>
      </c>
      <c r="C150" s="98">
        <f t="shared" si="40"/>
        <v>0</v>
      </c>
      <c r="D150" s="98">
        <f t="shared" si="41"/>
        <v>0</v>
      </c>
      <c r="E150" s="100">
        <f t="shared" si="42"/>
        <v>0</v>
      </c>
      <c r="H150" s="36">
        <v>133</v>
      </c>
      <c r="I150" s="36">
        <f t="shared" si="43"/>
        <v>0</v>
      </c>
      <c r="J150" s="36">
        <f t="shared" si="44"/>
        <v>0</v>
      </c>
      <c r="K150" s="36">
        <f t="shared" si="45"/>
        <v>0</v>
      </c>
      <c r="M150" s="96">
        <v>133</v>
      </c>
      <c r="N150" s="98">
        <f t="shared" si="46"/>
        <v>0</v>
      </c>
      <c r="O150" s="98">
        <f t="shared" si="48"/>
        <v>0</v>
      </c>
      <c r="P150" s="100">
        <f t="shared" si="47"/>
        <v>0</v>
      </c>
      <c r="Q150" s="100">
        <f t="shared" si="49"/>
        <v>3.14415160573844e-13</v>
      </c>
    </row>
    <row r="151" customHeight="1" spans="2:17">
      <c r="B151" s="96">
        <v>134</v>
      </c>
      <c r="C151" s="98">
        <f t="shared" si="40"/>
        <v>0</v>
      </c>
      <c r="D151" s="98">
        <f t="shared" si="41"/>
        <v>0</v>
      </c>
      <c r="E151" s="100">
        <f t="shared" si="42"/>
        <v>0</v>
      </c>
      <c r="H151" s="36">
        <v>134</v>
      </c>
      <c r="I151" s="36">
        <f t="shared" si="43"/>
        <v>0</v>
      </c>
      <c r="J151" s="36">
        <f t="shared" si="44"/>
        <v>0</v>
      </c>
      <c r="K151" s="36">
        <f t="shared" si="45"/>
        <v>0</v>
      </c>
      <c r="M151" s="96">
        <v>134</v>
      </c>
      <c r="N151" s="98">
        <f t="shared" si="46"/>
        <v>0</v>
      </c>
      <c r="O151" s="98">
        <f t="shared" si="48"/>
        <v>0</v>
      </c>
      <c r="P151" s="100">
        <f t="shared" si="47"/>
        <v>0</v>
      </c>
      <c r="Q151" s="100">
        <f t="shared" si="49"/>
        <v>3.14415160573844e-13</v>
      </c>
    </row>
    <row r="152" customHeight="1" spans="2:17">
      <c r="B152" s="96">
        <v>135</v>
      </c>
      <c r="C152" s="98">
        <f t="shared" si="40"/>
        <v>0</v>
      </c>
      <c r="D152" s="98">
        <f t="shared" si="41"/>
        <v>0</v>
      </c>
      <c r="E152" s="100">
        <f t="shared" si="42"/>
        <v>0</v>
      </c>
      <c r="H152" s="36">
        <v>135</v>
      </c>
      <c r="I152" s="36">
        <f t="shared" si="43"/>
        <v>0</v>
      </c>
      <c r="J152" s="36">
        <f t="shared" si="44"/>
        <v>0</v>
      </c>
      <c r="K152" s="36">
        <f t="shared" si="45"/>
        <v>0</v>
      </c>
      <c r="M152" s="96">
        <v>135</v>
      </c>
      <c r="N152" s="98">
        <f t="shared" si="46"/>
        <v>0</v>
      </c>
      <c r="O152" s="98">
        <f t="shared" si="48"/>
        <v>0</v>
      </c>
      <c r="P152" s="100">
        <f t="shared" si="47"/>
        <v>0</v>
      </c>
      <c r="Q152" s="100">
        <f t="shared" si="49"/>
        <v>3.14415160573844e-13</v>
      </c>
    </row>
    <row r="153" customHeight="1" spans="2:17">
      <c r="B153" s="96">
        <v>136</v>
      </c>
      <c r="C153" s="98">
        <f t="shared" si="40"/>
        <v>0</v>
      </c>
      <c r="D153" s="98">
        <f t="shared" si="41"/>
        <v>0</v>
      </c>
      <c r="E153" s="100">
        <f t="shared" si="42"/>
        <v>0</v>
      </c>
      <c r="H153" s="36">
        <v>136</v>
      </c>
      <c r="I153" s="36">
        <f t="shared" si="43"/>
        <v>0</v>
      </c>
      <c r="J153" s="36">
        <f t="shared" si="44"/>
        <v>0</v>
      </c>
      <c r="K153" s="36">
        <f t="shared" si="45"/>
        <v>0</v>
      </c>
      <c r="M153" s="96">
        <v>136</v>
      </c>
      <c r="N153" s="98">
        <f t="shared" si="46"/>
        <v>0</v>
      </c>
      <c r="O153" s="98">
        <f t="shared" si="48"/>
        <v>0</v>
      </c>
      <c r="P153" s="100">
        <f t="shared" si="47"/>
        <v>0</v>
      </c>
      <c r="Q153" s="100">
        <f t="shared" si="49"/>
        <v>3.14415160573844e-13</v>
      </c>
    </row>
    <row r="154" customHeight="1" spans="2:17">
      <c r="B154" s="96">
        <v>137</v>
      </c>
      <c r="C154" s="98">
        <f t="shared" si="40"/>
        <v>0</v>
      </c>
      <c r="D154" s="98">
        <f t="shared" si="41"/>
        <v>0</v>
      </c>
      <c r="E154" s="100">
        <f t="shared" si="42"/>
        <v>0</v>
      </c>
      <c r="H154" s="36">
        <v>137</v>
      </c>
      <c r="I154" s="36">
        <f t="shared" si="43"/>
        <v>0</v>
      </c>
      <c r="J154" s="36">
        <f t="shared" si="44"/>
        <v>0</v>
      </c>
      <c r="K154" s="36">
        <f t="shared" si="45"/>
        <v>0</v>
      </c>
      <c r="M154" s="96">
        <v>137</v>
      </c>
      <c r="N154" s="98">
        <f t="shared" si="46"/>
        <v>0</v>
      </c>
      <c r="O154" s="98">
        <f t="shared" si="48"/>
        <v>0</v>
      </c>
      <c r="P154" s="100">
        <f t="shared" si="47"/>
        <v>0</v>
      </c>
      <c r="Q154" s="100">
        <f t="shared" si="49"/>
        <v>3.14415160573844e-13</v>
      </c>
    </row>
    <row r="155" customHeight="1" spans="2:17">
      <c r="B155" s="96">
        <v>138</v>
      </c>
      <c r="C155" s="98">
        <f t="shared" si="40"/>
        <v>0</v>
      </c>
      <c r="D155" s="98">
        <f t="shared" si="41"/>
        <v>0</v>
      </c>
      <c r="E155" s="100">
        <f t="shared" si="42"/>
        <v>0</v>
      </c>
      <c r="H155" s="36">
        <v>138</v>
      </c>
      <c r="I155" s="36">
        <f t="shared" si="43"/>
        <v>0</v>
      </c>
      <c r="J155" s="36">
        <f t="shared" si="44"/>
        <v>0</v>
      </c>
      <c r="K155" s="36">
        <f t="shared" si="45"/>
        <v>0</v>
      </c>
      <c r="M155" s="96">
        <v>138</v>
      </c>
      <c r="N155" s="98">
        <f t="shared" si="46"/>
        <v>0</v>
      </c>
      <c r="O155" s="98">
        <f t="shared" si="48"/>
        <v>0</v>
      </c>
      <c r="P155" s="100">
        <f t="shared" si="47"/>
        <v>0</v>
      </c>
      <c r="Q155" s="100">
        <f t="shared" si="49"/>
        <v>3.14415160573844e-13</v>
      </c>
    </row>
    <row r="156" customHeight="1" spans="2:17">
      <c r="B156" s="96">
        <v>139</v>
      </c>
      <c r="C156" s="98">
        <f t="shared" si="40"/>
        <v>0</v>
      </c>
      <c r="D156" s="98">
        <f t="shared" si="41"/>
        <v>0</v>
      </c>
      <c r="E156" s="100">
        <f t="shared" si="42"/>
        <v>0</v>
      </c>
      <c r="H156" s="36">
        <v>139</v>
      </c>
      <c r="I156" s="36">
        <f t="shared" si="43"/>
        <v>0</v>
      </c>
      <c r="J156" s="36">
        <f t="shared" si="44"/>
        <v>0</v>
      </c>
      <c r="K156" s="36">
        <f t="shared" si="45"/>
        <v>0</v>
      </c>
      <c r="M156" s="96">
        <v>139</v>
      </c>
      <c r="N156" s="98">
        <f t="shared" si="46"/>
        <v>0</v>
      </c>
      <c r="O156" s="98">
        <f t="shared" si="48"/>
        <v>0</v>
      </c>
      <c r="P156" s="100">
        <f t="shared" si="47"/>
        <v>0</v>
      </c>
      <c r="Q156" s="100">
        <f t="shared" si="49"/>
        <v>3.14415160573844e-13</v>
      </c>
    </row>
    <row r="157" customHeight="1" spans="2:17">
      <c r="B157" s="96">
        <v>140</v>
      </c>
      <c r="C157" s="98">
        <f t="shared" si="40"/>
        <v>0</v>
      </c>
      <c r="D157" s="98">
        <f t="shared" si="41"/>
        <v>0</v>
      </c>
      <c r="E157" s="100">
        <f t="shared" si="42"/>
        <v>0</v>
      </c>
      <c r="H157" s="36">
        <v>140</v>
      </c>
      <c r="I157" s="36">
        <f t="shared" si="43"/>
        <v>0</v>
      </c>
      <c r="J157" s="36">
        <f t="shared" si="44"/>
        <v>0</v>
      </c>
      <c r="K157" s="36">
        <f t="shared" si="45"/>
        <v>0</v>
      </c>
      <c r="M157" s="96">
        <v>140</v>
      </c>
      <c r="N157" s="98">
        <f t="shared" si="46"/>
        <v>0</v>
      </c>
      <c r="O157" s="98">
        <f t="shared" si="48"/>
        <v>0</v>
      </c>
      <c r="P157" s="100">
        <f t="shared" si="47"/>
        <v>0</v>
      </c>
      <c r="Q157" s="100">
        <f t="shared" si="49"/>
        <v>3.14415160573844e-13</v>
      </c>
    </row>
    <row r="158" customHeight="1" spans="2:17">
      <c r="B158" s="96">
        <v>141</v>
      </c>
      <c r="C158" s="98">
        <f t="shared" si="40"/>
        <v>0</v>
      </c>
      <c r="D158" s="98">
        <f t="shared" si="41"/>
        <v>0</v>
      </c>
      <c r="E158" s="100">
        <f t="shared" si="42"/>
        <v>0</v>
      </c>
      <c r="H158" s="36">
        <v>141</v>
      </c>
      <c r="I158" s="36">
        <f t="shared" si="43"/>
        <v>0</v>
      </c>
      <c r="J158" s="36">
        <f t="shared" si="44"/>
        <v>0</v>
      </c>
      <c r="K158" s="36">
        <f t="shared" si="45"/>
        <v>0</v>
      </c>
      <c r="M158" s="96">
        <v>141</v>
      </c>
      <c r="N158" s="98">
        <f t="shared" si="46"/>
        <v>0</v>
      </c>
      <c r="O158" s="98">
        <f t="shared" si="48"/>
        <v>0</v>
      </c>
      <c r="P158" s="100">
        <f t="shared" si="47"/>
        <v>0</v>
      </c>
      <c r="Q158" s="100">
        <f t="shared" si="49"/>
        <v>3.14415160573844e-13</v>
      </c>
    </row>
    <row r="159" customHeight="1" spans="2:17">
      <c r="B159" s="96">
        <v>142</v>
      </c>
      <c r="C159" s="98">
        <f t="shared" si="40"/>
        <v>0</v>
      </c>
      <c r="D159" s="98">
        <f t="shared" si="41"/>
        <v>0</v>
      </c>
      <c r="E159" s="100">
        <f t="shared" si="42"/>
        <v>0</v>
      </c>
      <c r="H159" s="36">
        <v>142</v>
      </c>
      <c r="I159" s="36">
        <f t="shared" si="43"/>
        <v>0</v>
      </c>
      <c r="J159" s="36">
        <f t="shared" si="44"/>
        <v>0</v>
      </c>
      <c r="K159" s="36">
        <f t="shared" si="45"/>
        <v>0</v>
      </c>
      <c r="M159" s="96">
        <v>142</v>
      </c>
      <c r="N159" s="98">
        <f t="shared" si="46"/>
        <v>0</v>
      </c>
      <c r="O159" s="98">
        <f t="shared" si="48"/>
        <v>0</v>
      </c>
      <c r="P159" s="100">
        <f t="shared" si="47"/>
        <v>0</v>
      </c>
      <c r="Q159" s="100">
        <f t="shared" si="49"/>
        <v>3.14415160573844e-13</v>
      </c>
    </row>
    <row r="160" customHeight="1" spans="2:17">
      <c r="B160" s="96">
        <v>143</v>
      </c>
      <c r="C160" s="98">
        <f t="shared" si="40"/>
        <v>0</v>
      </c>
      <c r="D160" s="98">
        <f t="shared" si="41"/>
        <v>0</v>
      </c>
      <c r="E160" s="100">
        <f t="shared" si="42"/>
        <v>0</v>
      </c>
      <c r="H160" s="36">
        <v>143</v>
      </c>
      <c r="I160" s="36">
        <f t="shared" si="43"/>
        <v>0</v>
      </c>
      <c r="J160" s="36">
        <f t="shared" si="44"/>
        <v>0</v>
      </c>
      <c r="K160" s="36">
        <f t="shared" si="45"/>
        <v>0</v>
      </c>
      <c r="M160" s="96">
        <v>143</v>
      </c>
      <c r="N160" s="98">
        <f t="shared" si="46"/>
        <v>0</v>
      </c>
      <c r="O160" s="98">
        <f t="shared" si="48"/>
        <v>0</v>
      </c>
      <c r="P160" s="100">
        <f t="shared" si="47"/>
        <v>0</v>
      </c>
      <c r="Q160" s="100">
        <f t="shared" si="49"/>
        <v>3.14415160573844e-13</v>
      </c>
    </row>
    <row r="161" customHeight="1" spans="2:17">
      <c r="B161" s="96">
        <v>144</v>
      </c>
      <c r="C161" s="98">
        <f t="shared" si="40"/>
        <v>0</v>
      </c>
      <c r="D161" s="98">
        <f t="shared" si="41"/>
        <v>0</v>
      </c>
      <c r="E161" s="100">
        <f t="shared" si="42"/>
        <v>0</v>
      </c>
      <c r="H161" s="36">
        <v>144</v>
      </c>
      <c r="I161" s="36">
        <f t="shared" si="43"/>
        <v>0</v>
      </c>
      <c r="J161" s="36">
        <f t="shared" si="44"/>
        <v>0</v>
      </c>
      <c r="K161" s="36">
        <f t="shared" si="45"/>
        <v>0</v>
      </c>
      <c r="M161" s="96">
        <v>144</v>
      </c>
      <c r="N161" s="98">
        <f t="shared" si="46"/>
        <v>0</v>
      </c>
      <c r="O161" s="98">
        <f t="shared" si="48"/>
        <v>0</v>
      </c>
      <c r="P161" s="100">
        <f t="shared" si="47"/>
        <v>0</v>
      </c>
      <c r="Q161" s="100">
        <f t="shared" si="49"/>
        <v>3.14415160573844e-13</v>
      </c>
    </row>
    <row r="162" customHeight="1" spans="2:17">
      <c r="B162" s="96">
        <v>145</v>
      </c>
      <c r="C162" s="98">
        <f t="shared" si="40"/>
        <v>0</v>
      </c>
      <c r="D162" s="98">
        <f t="shared" si="41"/>
        <v>0</v>
      </c>
      <c r="E162" s="100">
        <f t="shared" si="42"/>
        <v>0</v>
      </c>
      <c r="H162" s="36">
        <v>145</v>
      </c>
      <c r="I162" s="36">
        <f t="shared" si="43"/>
        <v>0</v>
      </c>
      <c r="J162" s="36">
        <f t="shared" si="44"/>
        <v>0</v>
      </c>
      <c r="K162" s="36">
        <f t="shared" si="45"/>
        <v>0</v>
      </c>
      <c r="M162" s="96">
        <v>145</v>
      </c>
      <c r="N162" s="98">
        <f t="shared" si="46"/>
        <v>0</v>
      </c>
      <c r="O162" s="98">
        <f t="shared" si="48"/>
        <v>0</v>
      </c>
      <c r="P162" s="100">
        <f t="shared" si="47"/>
        <v>0</v>
      </c>
      <c r="Q162" s="100">
        <f t="shared" si="49"/>
        <v>3.14415160573844e-13</v>
      </c>
    </row>
    <row r="163" customHeight="1" spans="2:17">
      <c r="B163" s="96">
        <v>146</v>
      </c>
      <c r="C163" s="98">
        <f t="shared" si="40"/>
        <v>0</v>
      </c>
      <c r="D163" s="98">
        <f t="shared" si="41"/>
        <v>0</v>
      </c>
      <c r="E163" s="100">
        <f t="shared" si="42"/>
        <v>0</v>
      </c>
      <c r="H163" s="36">
        <v>146</v>
      </c>
      <c r="I163" s="36">
        <f t="shared" si="43"/>
        <v>0</v>
      </c>
      <c r="J163" s="36">
        <f t="shared" si="44"/>
        <v>0</v>
      </c>
      <c r="K163" s="36">
        <f t="shared" si="45"/>
        <v>0</v>
      </c>
      <c r="M163" s="96">
        <v>146</v>
      </c>
      <c r="N163" s="98">
        <f t="shared" si="46"/>
        <v>0</v>
      </c>
      <c r="O163" s="98">
        <f t="shared" si="48"/>
        <v>0</v>
      </c>
      <c r="P163" s="100">
        <f t="shared" si="47"/>
        <v>0</v>
      </c>
      <c r="Q163" s="100">
        <f t="shared" si="49"/>
        <v>3.14415160573844e-13</v>
      </c>
    </row>
    <row r="164" customHeight="1" spans="2:17">
      <c r="B164" s="96">
        <v>147</v>
      </c>
      <c r="C164" s="98">
        <f t="shared" si="40"/>
        <v>0</v>
      </c>
      <c r="D164" s="98">
        <f t="shared" si="41"/>
        <v>0</v>
      </c>
      <c r="E164" s="100">
        <f t="shared" si="42"/>
        <v>0</v>
      </c>
      <c r="H164" s="36">
        <v>147</v>
      </c>
      <c r="I164" s="36">
        <f t="shared" si="43"/>
        <v>0</v>
      </c>
      <c r="J164" s="36">
        <f t="shared" si="44"/>
        <v>0</v>
      </c>
      <c r="K164" s="36">
        <f t="shared" si="45"/>
        <v>0</v>
      </c>
      <c r="M164" s="96">
        <v>147</v>
      </c>
      <c r="N164" s="98">
        <f t="shared" si="46"/>
        <v>0</v>
      </c>
      <c r="O164" s="98">
        <f t="shared" si="48"/>
        <v>0</v>
      </c>
      <c r="P164" s="100">
        <f t="shared" si="47"/>
        <v>0</v>
      </c>
      <c r="Q164" s="100">
        <f t="shared" si="49"/>
        <v>3.14415160573844e-13</v>
      </c>
    </row>
    <row r="165" customHeight="1" spans="2:17">
      <c r="B165" s="96">
        <v>148</v>
      </c>
      <c r="C165" s="98">
        <f t="shared" si="40"/>
        <v>0</v>
      </c>
      <c r="D165" s="98">
        <f t="shared" si="41"/>
        <v>0</v>
      </c>
      <c r="E165" s="100">
        <f t="shared" si="42"/>
        <v>0</v>
      </c>
      <c r="H165" s="36">
        <v>148</v>
      </c>
      <c r="I165" s="36">
        <f t="shared" si="43"/>
        <v>0</v>
      </c>
      <c r="J165" s="36">
        <f t="shared" si="44"/>
        <v>0</v>
      </c>
      <c r="K165" s="36">
        <f t="shared" si="45"/>
        <v>0</v>
      </c>
      <c r="M165" s="96">
        <v>148</v>
      </c>
      <c r="N165" s="98">
        <f t="shared" si="46"/>
        <v>0</v>
      </c>
      <c r="O165" s="98">
        <f t="shared" si="48"/>
        <v>0</v>
      </c>
      <c r="P165" s="100">
        <f t="shared" si="47"/>
        <v>0</v>
      </c>
      <c r="Q165" s="100">
        <f t="shared" si="49"/>
        <v>3.14415160573844e-13</v>
      </c>
    </row>
    <row r="166" customHeight="1" spans="2:17">
      <c r="B166" s="96">
        <v>149</v>
      </c>
      <c r="C166" s="98">
        <f t="shared" si="40"/>
        <v>0</v>
      </c>
      <c r="D166" s="98">
        <f t="shared" si="41"/>
        <v>0</v>
      </c>
      <c r="E166" s="100">
        <f t="shared" si="42"/>
        <v>0</v>
      </c>
      <c r="H166" s="36">
        <v>149</v>
      </c>
      <c r="I166" s="36">
        <f t="shared" si="43"/>
        <v>0</v>
      </c>
      <c r="J166" s="36">
        <f t="shared" si="44"/>
        <v>0</v>
      </c>
      <c r="K166" s="36">
        <f t="shared" si="45"/>
        <v>0</v>
      </c>
      <c r="M166" s="96">
        <v>149</v>
      </c>
      <c r="N166" s="98">
        <f t="shared" si="46"/>
        <v>0</v>
      </c>
      <c r="O166" s="98">
        <f t="shared" si="48"/>
        <v>0</v>
      </c>
      <c r="P166" s="100">
        <f t="shared" si="47"/>
        <v>0</v>
      </c>
      <c r="Q166" s="100">
        <f t="shared" si="49"/>
        <v>3.14415160573844e-13</v>
      </c>
    </row>
    <row r="167" customHeight="1" spans="2:17">
      <c r="B167" s="96">
        <v>150</v>
      </c>
      <c r="C167" s="98">
        <f t="shared" si="40"/>
        <v>0</v>
      </c>
      <c r="D167" s="98">
        <f t="shared" si="41"/>
        <v>0</v>
      </c>
      <c r="E167" s="100">
        <f t="shared" si="42"/>
        <v>0</v>
      </c>
      <c r="H167" s="36">
        <v>150</v>
      </c>
      <c r="I167" s="36">
        <f t="shared" si="43"/>
        <v>0</v>
      </c>
      <c r="J167" s="36">
        <f t="shared" si="44"/>
        <v>0</v>
      </c>
      <c r="K167" s="36">
        <f t="shared" si="45"/>
        <v>0</v>
      </c>
      <c r="M167" s="96">
        <v>150</v>
      </c>
      <c r="N167" s="98">
        <f t="shared" si="46"/>
        <v>0</v>
      </c>
      <c r="O167" s="98">
        <f t="shared" si="48"/>
        <v>0</v>
      </c>
      <c r="P167" s="100">
        <f t="shared" si="47"/>
        <v>0</v>
      </c>
      <c r="Q167" s="100">
        <f t="shared" si="49"/>
        <v>3.14415160573844e-13</v>
      </c>
    </row>
    <row r="168" customHeight="1" spans="2:17">
      <c r="B168" s="96">
        <v>151</v>
      </c>
      <c r="C168" s="98">
        <f t="shared" si="40"/>
        <v>0</v>
      </c>
      <c r="D168" s="98">
        <f t="shared" si="41"/>
        <v>0</v>
      </c>
      <c r="E168" s="100">
        <f t="shared" si="42"/>
        <v>0</v>
      </c>
      <c r="H168" s="36">
        <v>151</v>
      </c>
      <c r="I168" s="36">
        <f t="shared" si="43"/>
        <v>0</v>
      </c>
      <c r="J168" s="36">
        <f t="shared" si="44"/>
        <v>0</v>
      </c>
      <c r="K168" s="36">
        <f t="shared" si="45"/>
        <v>0</v>
      </c>
      <c r="M168" s="96">
        <v>151</v>
      </c>
      <c r="N168" s="98">
        <f t="shared" si="46"/>
        <v>0</v>
      </c>
      <c r="O168" s="98">
        <f t="shared" si="48"/>
        <v>0</v>
      </c>
      <c r="P168" s="100">
        <f t="shared" si="47"/>
        <v>0</v>
      </c>
      <c r="Q168" s="100">
        <f t="shared" si="49"/>
        <v>3.14415160573844e-13</v>
      </c>
    </row>
    <row r="169" customHeight="1" spans="2:17">
      <c r="B169" s="96">
        <v>152</v>
      </c>
      <c r="C169" s="98">
        <f t="shared" si="40"/>
        <v>0</v>
      </c>
      <c r="D169" s="98">
        <f t="shared" si="41"/>
        <v>0</v>
      </c>
      <c r="E169" s="100">
        <f t="shared" si="42"/>
        <v>0</v>
      </c>
      <c r="H169" s="36">
        <v>152</v>
      </c>
      <c r="I169" s="36">
        <f t="shared" si="43"/>
        <v>0</v>
      </c>
      <c r="J169" s="36">
        <f t="shared" si="44"/>
        <v>0</v>
      </c>
      <c r="K169" s="36">
        <f t="shared" si="45"/>
        <v>0</v>
      </c>
      <c r="M169" s="96">
        <v>152</v>
      </c>
      <c r="N169" s="98">
        <f t="shared" si="46"/>
        <v>0</v>
      </c>
      <c r="O169" s="98">
        <f t="shared" si="48"/>
        <v>0</v>
      </c>
      <c r="P169" s="100">
        <f t="shared" si="47"/>
        <v>0</v>
      </c>
      <c r="Q169" s="100">
        <f t="shared" si="49"/>
        <v>3.14415160573844e-13</v>
      </c>
    </row>
    <row r="170" customHeight="1" spans="2:17">
      <c r="B170" s="96">
        <v>153</v>
      </c>
      <c r="C170" s="98">
        <f t="shared" si="40"/>
        <v>0</v>
      </c>
      <c r="D170" s="98">
        <f t="shared" si="41"/>
        <v>0</v>
      </c>
      <c r="E170" s="100">
        <f t="shared" si="42"/>
        <v>0</v>
      </c>
      <c r="H170" s="36">
        <v>153</v>
      </c>
      <c r="I170" s="36">
        <f t="shared" si="43"/>
        <v>0</v>
      </c>
      <c r="J170" s="36">
        <f t="shared" si="44"/>
        <v>0</v>
      </c>
      <c r="K170" s="36">
        <f t="shared" si="45"/>
        <v>0</v>
      </c>
      <c r="M170" s="96">
        <v>153</v>
      </c>
      <c r="N170" s="98">
        <f t="shared" si="46"/>
        <v>0</v>
      </c>
      <c r="O170" s="98">
        <f t="shared" si="48"/>
        <v>0</v>
      </c>
      <c r="P170" s="100">
        <f t="shared" si="47"/>
        <v>0</v>
      </c>
      <c r="Q170" s="100">
        <f t="shared" si="49"/>
        <v>3.14415160573844e-13</v>
      </c>
    </row>
    <row r="171" customHeight="1" spans="2:17">
      <c r="B171" s="96">
        <v>154</v>
      </c>
      <c r="C171" s="98">
        <f t="shared" si="40"/>
        <v>0</v>
      </c>
      <c r="D171" s="98">
        <f t="shared" si="41"/>
        <v>0</v>
      </c>
      <c r="E171" s="100">
        <f t="shared" si="42"/>
        <v>0</v>
      </c>
      <c r="H171" s="36">
        <v>154</v>
      </c>
      <c r="I171" s="36">
        <f t="shared" si="43"/>
        <v>0</v>
      </c>
      <c r="J171" s="36">
        <f t="shared" si="44"/>
        <v>0</v>
      </c>
      <c r="K171" s="36">
        <f t="shared" si="45"/>
        <v>0</v>
      </c>
      <c r="M171" s="96">
        <v>154</v>
      </c>
      <c r="N171" s="98">
        <f t="shared" si="46"/>
        <v>0</v>
      </c>
      <c r="O171" s="98">
        <f t="shared" si="48"/>
        <v>0</v>
      </c>
      <c r="P171" s="100">
        <f t="shared" si="47"/>
        <v>0</v>
      </c>
      <c r="Q171" s="100">
        <f t="shared" si="49"/>
        <v>3.14415160573844e-13</v>
      </c>
    </row>
    <row r="172" customHeight="1" spans="2:17">
      <c r="B172" s="96">
        <v>155</v>
      </c>
      <c r="C172" s="98">
        <f t="shared" si="40"/>
        <v>0</v>
      </c>
      <c r="D172" s="98">
        <f t="shared" si="41"/>
        <v>0</v>
      </c>
      <c r="E172" s="100">
        <f t="shared" si="42"/>
        <v>0</v>
      </c>
      <c r="H172" s="36">
        <v>155</v>
      </c>
      <c r="I172" s="36">
        <f t="shared" si="43"/>
        <v>0</v>
      </c>
      <c r="J172" s="36">
        <f t="shared" si="44"/>
        <v>0</v>
      </c>
      <c r="K172" s="36">
        <f t="shared" si="45"/>
        <v>0</v>
      </c>
      <c r="M172" s="96">
        <v>155</v>
      </c>
      <c r="N172" s="98">
        <f t="shared" si="46"/>
        <v>0</v>
      </c>
      <c r="O172" s="98">
        <f t="shared" si="48"/>
        <v>0</v>
      </c>
      <c r="P172" s="100">
        <f t="shared" si="47"/>
        <v>0</v>
      </c>
      <c r="Q172" s="100">
        <f t="shared" si="49"/>
        <v>3.14415160573844e-13</v>
      </c>
    </row>
    <row r="173" customHeight="1" spans="2:17">
      <c r="B173" s="96">
        <v>156</v>
      </c>
      <c r="C173" s="98">
        <f t="shared" si="40"/>
        <v>0</v>
      </c>
      <c r="D173" s="98">
        <f t="shared" si="41"/>
        <v>0</v>
      </c>
      <c r="E173" s="100">
        <f t="shared" si="42"/>
        <v>0</v>
      </c>
      <c r="H173" s="36">
        <v>156</v>
      </c>
      <c r="I173" s="36">
        <f t="shared" si="43"/>
        <v>0</v>
      </c>
      <c r="J173" s="36">
        <f t="shared" si="44"/>
        <v>0</v>
      </c>
      <c r="K173" s="36">
        <f t="shared" si="45"/>
        <v>0</v>
      </c>
      <c r="M173" s="96">
        <v>156</v>
      </c>
      <c r="N173" s="98">
        <f t="shared" si="46"/>
        <v>0</v>
      </c>
      <c r="O173" s="98">
        <f t="shared" si="48"/>
        <v>0</v>
      </c>
      <c r="P173" s="100">
        <f t="shared" si="47"/>
        <v>0</v>
      </c>
      <c r="Q173" s="100">
        <f t="shared" si="49"/>
        <v>3.14415160573844e-13</v>
      </c>
    </row>
    <row r="174" customHeight="1" spans="2:17">
      <c r="B174" s="96">
        <v>157</v>
      </c>
      <c r="C174" s="98">
        <f t="shared" si="40"/>
        <v>0</v>
      </c>
      <c r="D174" s="98">
        <f t="shared" si="41"/>
        <v>0</v>
      </c>
      <c r="E174" s="100">
        <f t="shared" si="42"/>
        <v>0</v>
      </c>
      <c r="H174" s="36">
        <v>157</v>
      </c>
      <c r="I174" s="36">
        <f t="shared" si="43"/>
        <v>0</v>
      </c>
      <c r="J174" s="36">
        <f t="shared" si="44"/>
        <v>0</v>
      </c>
      <c r="K174" s="36">
        <f t="shared" si="45"/>
        <v>0</v>
      </c>
      <c r="M174" s="96">
        <v>157</v>
      </c>
      <c r="N174" s="98">
        <f t="shared" si="46"/>
        <v>0</v>
      </c>
      <c r="O174" s="98">
        <f t="shared" si="48"/>
        <v>0</v>
      </c>
      <c r="P174" s="100">
        <f t="shared" si="47"/>
        <v>0</v>
      </c>
      <c r="Q174" s="100">
        <f t="shared" si="49"/>
        <v>3.14415160573844e-13</v>
      </c>
    </row>
    <row r="175" customHeight="1" spans="2:17">
      <c r="B175" s="96">
        <v>158</v>
      </c>
      <c r="C175" s="98">
        <f t="shared" si="40"/>
        <v>0</v>
      </c>
      <c r="D175" s="98">
        <f t="shared" si="41"/>
        <v>0</v>
      </c>
      <c r="E175" s="100">
        <f t="shared" si="42"/>
        <v>0</v>
      </c>
      <c r="H175" s="36">
        <v>158</v>
      </c>
      <c r="I175" s="36">
        <f t="shared" si="43"/>
        <v>0</v>
      </c>
      <c r="J175" s="36">
        <f t="shared" si="44"/>
        <v>0</v>
      </c>
      <c r="K175" s="36">
        <f t="shared" si="45"/>
        <v>0</v>
      </c>
      <c r="M175" s="96">
        <v>158</v>
      </c>
      <c r="N175" s="98">
        <f t="shared" si="46"/>
        <v>0</v>
      </c>
      <c r="O175" s="98">
        <f t="shared" si="48"/>
        <v>0</v>
      </c>
      <c r="P175" s="100">
        <f t="shared" si="47"/>
        <v>0</v>
      </c>
      <c r="Q175" s="100">
        <f t="shared" si="49"/>
        <v>3.14415160573844e-13</v>
      </c>
    </row>
    <row r="176" customHeight="1" spans="2:17">
      <c r="B176" s="96">
        <v>159</v>
      </c>
      <c r="C176" s="98">
        <f t="shared" si="40"/>
        <v>0</v>
      </c>
      <c r="D176" s="98">
        <f t="shared" si="41"/>
        <v>0</v>
      </c>
      <c r="E176" s="100">
        <f t="shared" si="42"/>
        <v>0</v>
      </c>
      <c r="H176" s="36">
        <v>159</v>
      </c>
      <c r="I176" s="36">
        <f t="shared" si="43"/>
        <v>0</v>
      </c>
      <c r="J176" s="36">
        <f t="shared" si="44"/>
        <v>0</v>
      </c>
      <c r="K176" s="36">
        <f t="shared" si="45"/>
        <v>0</v>
      </c>
      <c r="M176" s="96">
        <v>159</v>
      </c>
      <c r="N176" s="98">
        <f t="shared" si="46"/>
        <v>0</v>
      </c>
      <c r="O176" s="98">
        <f t="shared" si="48"/>
        <v>0</v>
      </c>
      <c r="P176" s="100">
        <f t="shared" si="47"/>
        <v>0</v>
      </c>
      <c r="Q176" s="100">
        <f t="shared" si="49"/>
        <v>3.14415160573844e-13</v>
      </c>
    </row>
    <row r="177" customHeight="1" spans="2:17">
      <c r="B177" s="96">
        <v>160</v>
      </c>
      <c r="C177" s="98">
        <f t="shared" si="40"/>
        <v>0</v>
      </c>
      <c r="D177" s="98">
        <f t="shared" si="41"/>
        <v>0</v>
      </c>
      <c r="E177" s="100">
        <f t="shared" si="42"/>
        <v>0</v>
      </c>
      <c r="H177" s="36">
        <v>160</v>
      </c>
      <c r="I177" s="36">
        <f t="shared" si="43"/>
        <v>0</v>
      </c>
      <c r="J177" s="36">
        <f t="shared" si="44"/>
        <v>0</v>
      </c>
      <c r="K177" s="36">
        <f t="shared" si="45"/>
        <v>0</v>
      </c>
      <c r="M177" s="96">
        <v>160</v>
      </c>
      <c r="N177" s="98">
        <f t="shared" si="46"/>
        <v>0</v>
      </c>
      <c r="O177" s="98">
        <f t="shared" si="48"/>
        <v>0</v>
      </c>
      <c r="P177" s="100">
        <f t="shared" si="47"/>
        <v>0</v>
      </c>
      <c r="Q177" s="100">
        <f t="shared" si="49"/>
        <v>3.14415160573844e-13</v>
      </c>
    </row>
    <row r="178" customHeight="1" spans="2:17">
      <c r="B178" s="96">
        <v>161</v>
      </c>
      <c r="C178" s="98">
        <f t="shared" ref="C178:C197" si="50">IF(B178&lt;$F$6,0,IF(B178&gt;$G$15,0,I178))</f>
        <v>0</v>
      </c>
      <c r="D178" s="98">
        <f t="shared" ref="D178:D197" si="51">IF(B178&lt;=$F$6,PRODUCT($E$15,$C$15),J178)</f>
        <v>0</v>
      </c>
      <c r="E178" s="100">
        <f t="shared" ref="E178:E197" si="52">C178+D178</f>
        <v>0</v>
      </c>
      <c r="H178" s="36">
        <v>161</v>
      </c>
      <c r="I178" s="36">
        <f t="shared" ref="I178:I197" si="53">IF(B178&lt;=$F$6,0,IF(B178&gt;$G$15,0,PPMT($C$15,B178-$F$6,$K$15,-$E$15)))</f>
        <v>0</v>
      </c>
      <c r="J178" s="36">
        <f t="shared" ref="J178:J197" si="54">IF(B178&lt;=$F$6,0,IF(B178&gt;$G$15,0,IF(I178=0,PRODUCT($E$15,$C$15),K178-I178)))</f>
        <v>0</v>
      </c>
      <c r="K178" s="36">
        <f t="shared" ref="K178:K197" si="55">IF(B178&lt;=$F$6,0,IF(B178&gt;$G$15,0,PMT($C$15,$K$15,-$E$15)))</f>
        <v>0</v>
      </c>
      <c r="M178" s="96">
        <v>161</v>
      </c>
      <c r="N178" s="98">
        <f t="shared" ref="N178:N197" si="56">IF(M178&gt;$G$15,0,$P$15/$R$15)</f>
        <v>0</v>
      </c>
      <c r="O178" s="98">
        <f t="shared" si="48"/>
        <v>0</v>
      </c>
      <c r="P178" s="100">
        <f t="shared" ref="P178:P197" si="57">N178+O178</f>
        <v>0</v>
      </c>
      <c r="Q178" s="100">
        <f t="shared" si="49"/>
        <v>3.14415160573844e-13</v>
      </c>
    </row>
    <row r="179" customHeight="1" spans="2:17">
      <c r="B179" s="96">
        <v>162</v>
      </c>
      <c r="C179" s="98">
        <f t="shared" si="50"/>
        <v>0</v>
      </c>
      <c r="D179" s="98">
        <f t="shared" si="51"/>
        <v>0</v>
      </c>
      <c r="E179" s="100">
        <f t="shared" si="52"/>
        <v>0</v>
      </c>
      <c r="H179" s="36">
        <v>162</v>
      </c>
      <c r="I179" s="36">
        <f t="shared" si="53"/>
        <v>0</v>
      </c>
      <c r="J179" s="36">
        <f t="shared" si="54"/>
        <v>0</v>
      </c>
      <c r="K179" s="36">
        <f t="shared" si="55"/>
        <v>0</v>
      </c>
      <c r="M179" s="96">
        <v>162</v>
      </c>
      <c r="N179" s="98">
        <f t="shared" si="56"/>
        <v>0</v>
      </c>
      <c r="O179" s="98">
        <f t="shared" ref="O179:O197" si="58">IF(M179&gt;$G$15,0,Q178*$N$15)</f>
        <v>0</v>
      </c>
      <c r="P179" s="100">
        <f t="shared" si="57"/>
        <v>0</v>
      </c>
      <c r="Q179" s="100">
        <f t="shared" ref="Q179:Q197" si="59">Q178-N179</f>
        <v>3.14415160573844e-13</v>
      </c>
    </row>
    <row r="180" customHeight="1" spans="2:17">
      <c r="B180" s="96">
        <v>163</v>
      </c>
      <c r="C180" s="98">
        <f t="shared" si="50"/>
        <v>0</v>
      </c>
      <c r="D180" s="98">
        <f t="shared" si="51"/>
        <v>0</v>
      </c>
      <c r="E180" s="100">
        <f t="shared" si="52"/>
        <v>0</v>
      </c>
      <c r="H180" s="36">
        <v>163</v>
      </c>
      <c r="I180" s="36">
        <f t="shared" si="53"/>
        <v>0</v>
      </c>
      <c r="J180" s="36">
        <f t="shared" si="54"/>
        <v>0</v>
      </c>
      <c r="K180" s="36">
        <f t="shared" si="55"/>
        <v>0</v>
      </c>
      <c r="M180" s="96">
        <v>163</v>
      </c>
      <c r="N180" s="98">
        <f t="shared" si="56"/>
        <v>0</v>
      </c>
      <c r="O180" s="98">
        <f t="shared" si="58"/>
        <v>0</v>
      </c>
      <c r="P180" s="100">
        <f t="shared" si="57"/>
        <v>0</v>
      </c>
      <c r="Q180" s="100">
        <f t="shared" si="59"/>
        <v>3.14415160573844e-13</v>
      </c>
    </row>
    <row r="181" customHeight="1" spans="2:17">
      <c r="B181" s="96">
        <v>164</v>
      </c>
      <c r="C181" s="98">
        <f t="shared" si="50"/>
        <v>0</v>
      </c>
      <c r="D181" s="98">
        <f t="shared" si="51"/>
        <v>0</v>
      </c>
      <c r="E181" s="100">
        <f t="shared" si="52"/>
        <v>0</v>
      </c>
      <c r="H181" s="36">
        <v>164</v>
      </c>
      <c r="I181" s="36">
        <f t="shared" si="53"/>
        <v>0</v>
      </c>
      <c r="J181" s="36">
        <f t="shared" si="54"/>
        <v>0</v>
      </c>
      <c r="K181" s="36">
        <f t="shared" si="55"/>
        <v>0</v>
      </c>
      <c r="M181" s="96">
        <v>164</v>
      </c>
      <c r="N181" s="98">
        <f t="shared" si="56"/>
        <v>0</v>
      </c>
      <c r="O181" s="98">
        <f t="shared" si="58"/>
        <v>0</v>
      </c>
      <c r="P181" s="100">
        <f t="shared" si="57"/>
        <v>0</v>
      </c>
      <c r="Q181" s="100">
        <f t="shared" si="59"/>
        <v>3.14415160573844e-13</v>
      </c>
    </row>
    <row r="182" customHeight="1" spans="2:17">
      <c r="B182" s="96">
        <v>165</v>
      </c>
      <c r="C182" s="98">
        <f t="shared" si="50"/>
        <v>0</v>
      </c>
      <c r="D182" s="98">
        <f t="shared" si="51"/>
        <v>0</v>
      </c>
      <c r="E182" s="100">
        <f t="shared" si="52"/>
        <v>0</v>
      </c>
      <c r="H182" s="36">
        <v>165</v>
      </c>
      <c r="I182" s="36">
        <f t="shared" si="53"/>
        <v>0</v>
      </c>
      <c r="J182" s="36">
        <f t="shared" si="54"/>
        <v>0</v>
      </c>
      <c r="K182" s="36">
        <f t="shared" si="55"/>
        <v>0</v>
      </c>
      <c r="M182" s="96">
        <v>165</v>
      </c>
      <c r="N182" s="98">
        <f t="shared" si="56"/>
        <v>0</v>
      </c>
      <c r="O182" s="98">
        <f t="shared" si="58"/>
        <v>0</v>
      </c>
      <c r="P182" s="100">
        <f t="shared" si="57"/>
        <v>0</v>
      </c>
      <c r="Q182" s="100">
        <f t="shared" si="59"/>
        <v>3.14415160573844e-13</v>
      </c>
    </row>
    <row r="183" customHeight="1" spans="2:17">
      <c r="B183" s="96">
        <v>166</v>
      </c>
      <c r="C183" s="98">
        <f t="shared" si="50"/>
        <v>0</v>
      </c>
      <c r="D183" s="98">
        <f t="shared" si="51"/>
        <v>0</v>
      </c>
      <c r="E183" s="100">
        <f t="shared" si="52"/>
        <v>0</v>
      </c>
      <c r="H183" s="36">
        <v>166</v>
      </c>
      <c r="I183" s="36">
        <f t="shared" si="53"/>
        <v>0</v>
      </c>
      <c r="J183" s="36">
        <f t="shared" si="54"/>
        <v>0</v>
      </c>
      <c r="K183" s="36">
        <f t="shared" si="55"/>
        <v>0</v>
      </c>
      <c r="M183" s="96">
        <v>166</v>
      </c>
      <c r="N183" s="98">
        <f t="shared" si="56"/>
        <v>0</v>
      </c>
      <c r="O183" s="98">
        <f t="shared" si="58"/>
        <v>0</v>
      </c>
      <c r="P183" s="100">
        <f t="shared" si="57"/>
        <v>0</v>
      </c>
      <c r="Q183" s="100">
        <f t="shared" si="59"/>
        <v>3.14415160573844e-13</v>
      </c>
    </row>
    <row r="184" customHeight="1" spans="2:17">
      <c r="B184" s="96">
        <v>167</v>
      </c>
      <c r="C184" s="98">
        <f t="shared" si="50"/>
        <v>0</v>
      </c>
      <c r="D184" s="98">
        <f t="shared" si="51"/>
        <v>0</v>
      </c>
      <c r="E184" s="100">
        <f t="shared" si="52"/>
        <v>0</v>
      </c>
      <c r="H184" s="36">
        <v>167</v>
      </c>
      <c r="I184" s="36">
        <f t="shared" si="53"/>
        <v>0</v>
      </c>
      <c r="J184" s="36">
        <f t="shared" si="54"/>
        <v>0</v>
      </c>
      <c r="K184" s="36">
        <f t="shared" si="55"/>
        <v>0</v>
      </c>
      <c r="M184" s="96">
        <v>167</v>
      </c>
      <c r="N184" s="98">
        <f t="shared" si="56"/>
        <v>0</v>
      </c>
      <c r="O184" s="98">
        <f t="shared" si="58"/>
        <v>0</v>
      </c>
      <c r="P184" s="100">
        <f t="shared" si="57"/>
        <v>0</v>
      </c>
      <c r="Q184" s="100">
        <f t="shared" si="59"/>
        <v>3.14415160573844e-13</v>
      </c>
    </row>
    <row r="185" customHeight="1" spans="2:17">
      <c r="B185" s="96">
        <v>168</v>
      </c>
      <c r="C185" s="98">
        <f t="shared" si="50"/>
        <v>0</v>
      </c>
      <c r="D185" s="98">
        <f t="shared" si="51"/>
        <v>0</v>
      </c>
      <c r="E185" s="100">
        <f t="shared" si="52"/>
        <v>0</v>
      </c>
      <c r="H185" s="36">
        <v>168</v>
      </c>
      <c r="I185" s="36">
        <f t="shared" si="53"/>
        <v>0</v>
      </c>
      <c r="J185" s="36">
        <f t="shared" si="54"/>
        <v>0</v>
      </c>
      <c r="K185" s="36">
        <f t="shared" si="55"/>
        <v>0</v>
      </c>
      <c r="M185" s="96">
        <v>168</v>
      </c>
      <c r="N185" s="98">
        <f t="shared" si="56"/>
        <v>0</v>
      </c>
      <c r="O185" s="98">
        <f t="shared" si="58"/>
        <v>0</v>
      </c>
      <c r="P185" s="100">
        <f t="shared" si="57"/>
        <v>0</v>
      </c>
      <c r="Q185" s="100">
        <f t="shared" si="59"/>
        <v>3.14415160573844e-13</v>
      </c>
    </row>
    <row r="186" customHeight="1" spans="2:17">
      <c r="B186" s="96">
        <v>169</v>
      </c>
      <c r="C186" s="98">
        <f t="shared" si="50"/>
        <v>0</v>
      </c>
      <c r="D186" s="98">
        <f t="shared" si="51"/>
        <v>0</v>
      </c>
      <c r="E186" s="100">
        <f t="shared" si="52"/>
        <v>0</v>
      </c>
      <c r="H186" s="36">
        <v>169</v>
      </c>
      <c r="I186" s="36">
        <f t="shared" si="53"/>
        <v>0</v>
      </c>
      <c r="J186" s="36">
        <f t="shared" si="54"/>
        <v>0</v>
      </c>
      <c r="K186" s="36">
        <f t="shared" si="55"/>
        <v>0</v>
      </c>
      <c r="M186" s="96">
        <v>169</v>
      </c>
      <c r="N186" s="98">
        <f t="shared" si="56"/>
        <v>0</v>
      </c>
      <c r="O186" s="98">
        <f t="shared" si="58"/>
        <v>0</v>
      </c>
      <c r="P186" s="100">
        <f t="shared" si="57"/>
        <v>0</v>
      </c>
      <c r="Q186" s="100">
        <f t="shared" si="59"/>
        <v>3.14415160573844e-13</v>
      </c>
    </row>
    <row r="187" customHeight="1" spans="2:17">
      <c r="B187" s="96">
        <v>170</v>
      </c>
      <c r="C187" s="98">
        <f t="shared" si="50"/>
        <v>0</v>
      </c>
      <c r="D187" s="98">
        <f t="shared" si="51"/>
        <v>0</v>
      </c>
      <c r="E187" s="100">
        <f t="shared" si="52"/>
        <v>0</v>
      </c>
      <c r="H187" s="36">
        <v>170</v>
      </c>
      <c r="I187" s="36">
        <f t="shared" si="53"/>
        <v>0</v>
      </c>
      <c r="J187" s="36">
        <f t="shared" si="54"/>
        <v>0</v>
      </c>
      <c r="K187" s="36">
        <f t="shared" si="55"/>
        <v>0</v>
      </c>
      <c r="M187" s="96">
        <v>170</v>
      </c>
      <c r="N187" s="98">
        <f t="shared" si="56"/>
        <v>0</v>
      </c>
      <c r="O187" s="98">
        <f t="shared" si="58"/>
        <v>0</v>
      </c>
      <c r="P187" s="100">
        <f t="shared" si="57"/>
        <v>0</v>
      </c>
      <c r="Q187" s="100">
        <f t="shared" si="59"/>
        <v>3.14415160573844e-13</v>
      </c>
    </row>
    <row r="188" customHeight="1" spans="2:17">
      <c r="B188" s="96">
        <v>171</v>
      </c>
      <c r="C188" s="98">
        <f t="shared" si="50"/>
        <v>0</v>
      </c>
      <c r="D188" s="98">
        <f t="shared" si="51"/>
        <v>0</v>
      </c>
      <c r="E188" s="100">
        <f t="shared" si="52"/>
        <v>0</v>
      </c>
      <c r="H188" s="36">
        <v>171</v>
      </c>
      <c r="I188" s="36">
        <f t="shared" si="53"/>
        <v>0</v>
      </c>
      <c r="J188" s="36">
        <f t="shared" si="54"/>
        <v>0</v>
      </c>
      <c r="K188" s="36">
        <f t="shared" si="55"/>
        <v>0</v>
      </c>
      <c r="M188" s="96">
        <v>171</v>
      </c>
      <c r="N188" s="98">
        <f t="shared" si="56"/>
        <v>0</v>
      </c>
      <c r="O188" s="98">
        <f t="shared" si="58"/>
        <v>0</v>
      </c>
      <c r="P188" s="100">
        <f t="shared" si="57"/>
        <v>0</v>
      </c>
      <c r="Q188" s="100">
        <f t="shared" si="59"/>
        <v>3.14415160573844e-13</v>
      </c>
    </row>
    <row r="189" customHeight="1" spans="2:17">
      <c r="B189" s="96">
        <v>172</v>
      </c>
      <c r="C189" s="98">
        <f t="shared" si="50"/>
        <v>0</v>
      </c>
      <c r="D189" s="98">
        <f t="shared" si="51"/>
        <v>0</v>
      </c>
      <c r="E189" s="100">
        <f t="shared" si="52"/>
        <v>0</v>
      </c>
      <c r="H189" s="36">
        <v>172</v>
      </c>
      <c r="I189" s="36">
        <f t="shared" si="53"/>
        <v>0</v>
      </c>
      <c r="J189" s="36">
        <f t="shared" si="54"/>
        <v>0</v>
      </c>
      <c r="K189" s="36">
        <f t="shared" si="55"/>
        <v>0</v>
      </c>
      <c r="M189" s="96">
        <v>172</v>
      </c>
      <c r="N189" s="98">
        <f t="shared" si="56"/>
        <v>0</v>
      </c>
      <c r="O189" s="98">
        <f t="shared" si="58"/>
        <v>0</v>
      </c>
      <c r="P189" s="100">
        <f t="shared" si="57"/>
        <v>0</v>
      </c>
      <c r="Q189" s="100">
        <f t="shared" si="59"/>
        <v>3.14415160573844e-13</v>
      </c>
    </row>
    <row r="190" customHeight="1" spans="2:17">
      <c r="B190" s="96">
        <v>173</v>
      </c>
      <c r="C190" s="98">
        <f t="shared" si="50"/>
        <v>0</v>
      </c>
      <c r="D190" s="98">
        <f t="shared" si="51"/>
        <v>0</v>
      </c>
      <c r="E190" s="100">
        <f t="shared" si="52"/>
        <v>0</v>
      </c>
      <c r="H190" s="36">
        <v>173</v>
      </c>
      <c r="I190" s="36">
        <f t="shared" si="53"/>
        <v>0</v>
      </c>
      <c r="J190" s="36">
        <f t="shared" si="54"/>
        <v>0</v>
      </c>
      <c r="K190" s="36">
        <f t="shared" si="55"/>
        <v>0</v>
      </c>
      <c r="M190" s="96">
        <v>173</v>
      </c>
      <c r="N190" s="98">
        <f t="shared" si="56"/>
        <v>0</v>
      </c>
      <c r="O190" s="98">
        <f t="shared" si="58"/>
        <v>0</v>
      </c>
      <c r="P190" s="100">
        <f t="shared" si="57"/>
        <v>0</v>
      </c>
      <c r="Q190" s="100">
        <f t="shared" si="59"/>
        <v>3.14415160573844e-13</v>
      </c>
    </row>
    <row r="191" customHeight="1" spans="2:17">
      <c r="B191" s="96">
        <v>174</v>
      </c>
      <c r="C191" s="98">
        <f t="shared" si="50"/>
        <v>0</v>
      </c>
      <c r="D191" s="98">
        <f t="shared" si="51"/>
        <v>0</v>
      </c>
      <c r="E191" s="100">
        <f t="shared" si="52"/>
        <v>0</v>
      </c>
      <c r="H191" s="36">
        <v>174</v>
      </c>
      <c r="I191" s="36">
        <f t="shared" si="53"/>
        <v>0</v>
      </c>
      <c r="J191" s="36">
        <f t="shared" si="54"/>
        <v>0</v>
      </c>
      <c r="K191" s="36">
        <f t="shared" si="55"/>
        <v>0</v>
      </c>
      <c r="M191" s="96">
        <v>174</v>
      </c>
      <c r="N191" s="98">
        <f t="shared" si="56"/>
        <v>0</v>
      </c>
      <c r="O191" s="98">
        <f t="shared" si="58"/>
        <v>0</v>
      </c>
      <c r="P191" s="100">
        <f t="shared" si="57"/>
        <v>0</v>
      </c>
      <c r="Q191" s="100">
        <f t="shared" si="59"/>
        <v>3.14415160573844e-13</v>
      </c>
    </row>
    <row r="192" customHeight="1" spans="2:17">
      <c r="B192" s="96">
        <v>175</v>
      </c>
      <c r="C192" s="98">
        <f t="shared" si="50"/>
        <v>0</v>
      </c>
      <c r="D192" s="98">
        <f t="shared" si="51"/>
        <v>0</v>
      </c>
      <c r="E192" s="100">
        <f t="shared" si="52"/>
        <v>0</v>
      </c>
      <c r="H192" s="36">
        <v>175</v>
      </c>
      <c r="I192" s="36">
        <f t="shared" si="53"/>
        <v>0</v>
      </c>
      <c r="J192" s="36">
        <f t="shared" si="54"/>
        <v>0</v>
      </c>
      <c r="K192" s="36">
        <f t="shared" si="55"/>
        <v>0</v>
      </c>
      <c r="M192" s="96">
        <v>175</v>
      </c>
      <c r="N192" s="98">
        <f t="shared" si="56"/>
        <v>0</v>
      </c>
      <c r="O192" s="98">
        <f t="shared" si="58"/>
        <v>0</v>
      </c>
      <c r="P192" s="100">
        <f t="shared" si="57"/>
        <v>0</v>
      </c>
      <c r="Q192" s="100">
        <f t="shared" si="59"/>
        <v>3.14415160573844e-13</v>
      </c>
    </row>
    <row r="193" customHeight="1" spans="2:17">
      <c r="B193" s="96">
        <v>176</v>
      </c>
      <c r="C193" s="98">
        <f t="shared" si="50"/>
        <v>0</v>
      </c>
      <c r="D193" s="98">
        <f t="shared" si="51"/>
        <v>0</v>
      </c>
      <c r="E193" s="100">
        <f t="shared" si="52"/>
        <v>0</v>
      </c>
      <c r="H193" s="36">
        <v>176</v>
      </c>
      <c r="I193" s="36">
        <f t="shared" si="53"/>
        <v>0</v>
      </c>
      <c r="J193" s="36">
        <f t="shared" si="54"/>
        <v>0</v>
      </c>
      <c r="K193" s="36">
        <f t="shared" si="55"/>
        <v>0</v>
      </c>
      <c r="M193" s="96">
        <v>176</v>
      </c>
      <c r="N193" s="98">
        <f t="shared" si="56"/>
        <v>0</v>
      </c>
      <c r="O193" s="98">
        <f t="shared" si="58"/>
        <v>0</v>
      </c>
      <c r="P193" s="100">
        <f t="shared" si="57"/>
        <v>0</v>
      </c>
      <c r="Q193" s="100">
        <f t="shared" si="59"/>
        <v>3.14415160573844e-13</v>
      </c>
    </row>
    <row r="194" customHeight="1" spans="2:17">
      <c r="B194" s="96">
        <v>177</v>
      </c>
      <c r="C194" s="98">
        <f t="shared" si="50"/>
        <v>0</v>
      </c>
      <c r="D194" s="98">
        <f t="shared" si="51"/>
        <v>0</v>
      </c>
      <c r="E194" s="100">
        <f t="shared" si="52"/>
        <v>0</v>
      </c>
      <c r="H194" s="36">
        <v>177</v>
      </c>
      <c r="I194" s="36">
        <f t="shared" si="53"/>
        <v>0</v>
      </c>
      <c r="J194" s="36">
        <f t="shared" si="54"/>
        <v>0</v>
      </c>
      <c r="K194" s="36">
        <f t="shared" si="55"/>
        <v>0</v>
      </c>
      <c r="M194" s="96">
        <v>177</v>
      </c>
      <c r="N194" s="98">
        <f t="shared" si="56"/>
        <v>0</v>
      </c>
      <c r="O194" s="98">
        <f t="shared" si="58"/>
        <v>0</v>
      </c>
      <c r="P194" s="100">
        <f t="shared" si="57"/>
        <v>0</v>
      </c>
      <c r="Q194" s="100">
        <f t="shared" si="59"/>
        <v>3.14415160573844e-13</v>
      </c>
    </row>
    <row r="195" customHeight="1" spans="2:17">
      <c r="B195" s="96">
        <v>178</v>
      </c>
      <c r="C195" s="98">
        <f t="shared" si="50"/>
        <v>0</v>
      </c>
      <c r="D195" s="98">
        <f t="shared" si="51"/>
        <v>0</v>
      </c>
      <c r="E195" s="100">
        <f t="shared" si="52"/>
        <v>0</v>
      </c>
      <c r="H195" s="36">
        <v>178</v>
      </c>
      <c r="I195" s="36">
        <f t="shared" si="53"/>
        <v>0</v>
      </c>
      <c r="J195" s="36">
        <f t="shared" si="54"/>
        <v>0</v>
      </c>
      <c r="K195" s="36">
        <f t="shared" si="55"/>
        <v>0</v>
      </c>
      <c r="M195" s="96">
        <v>178</v>
      </c>
      <c r="N195" s="98">
        <f t="shared" si="56"/>
        <v>0</v>
      </c>
      <c r="O195" s="98">
        <f t="shared" si="58"/>
        <v>0</v>
      </c>
      <c r="P195" s="100">
        <f t="shared" si="57"/>
        <v>0</v>
      </c>
      <c r="Q195" s="100">
        <f t="shared" si="59"/>
        <v>3.14415160573844e-13</v>
      </c>
    </row>
    <row r="196" customHeight="1" spans="2:17">
      <c r="B196" s="96">
        <v>179</v>
      </c>
      <c r="C196" s="98">
        <f t="shared" si="50"/>
        <v>0</v>
      </c>
      <c r="D196" s="98">
        <f t="shared" si="51"/>
        <v>0</v>
      </c>
      <c r="E196" s="100">
        <f t="shared" si="52"/>
        <v>0</v>
      </c>
      <c r="H196" s="36">
        <v>179</v>
      </c>
      <c r="I196" s="36">
        <f t="shared" si="53"/>
        <v>0</v>
      </c>
      <c r="J196" s="36">
        <f t="shared" si="54"/>
        <v>0</v>
      </c>
      <c r="K196" s="36">
        <f t="shared" si="55"/>
        <v>0</v>
      </c>
      <c r="M196" s="96">
        <v>179</v>
      </c>
      <c r="N196" s="98">
        <f t="shared" si="56"/>
        <v>0</v>
      </c>
      <c r="O196" s="98">
        <f t="shared" si="58"/>
        <v>0</v>
      </c>
      <c r="P196" s="100">
        <f t="shared" si="57"/>
        <v>0</v>
      </c>
      <c r="Q196" s="100">
        <f t="shared" si="59"/>
        <v>3.14415160573844e-13</v>
      </c>
    </row>
    <row r="197" customHeight="1" spans="2:17">
      <c r="B197" s="96">
        <v>180</v>
      </c>
      <c r="C197" s="98">
        <f t="shared" si="50"/>
        <v>0</v>
      </c>
      <c r="D197" s="98">
        <f t="shared" si="51"/>
        <v>0</v>
      </c>
      <c r="E197" s="100">
        <f t="shared" si="52"/>
        <v>0</v>
      </c>
      <c r="H197" s="36">
        <v>180</v>
      </c>
      <c r="I197" s="36">
        <f t="shared" si="53"/>
        <v>0</v>
      </c>
      <c r="J197" s="36">
        <f t="shared" si="54"/>
        <v>0</v>
      </c>
      <c r="K197" s="36">
        <f t="shared" si="55"/>
        <v>0</v>
      </c>
      <c r="M197" s="96">
        <v>180</v>
      </c>
      <c r="N197" s="98">
        <f t="shared" si="56"/>
        <v>0</v>
      </c>
      <c r="O197" s="98">
        <f t="shared" si="58"/>
        <v>0</v>
      </c>
      <c r="P197" s="100">
        <f t="shared" si="57"/>
        <v>0</v>
      </c>
      <c r="Q197" s="100">
        <f t="shared" si="59"/>
        <v>3.14415160573844e-13</v>
      </c>
    </row>
  </sheetData>
  <mergeCells count="2">
    <mergeCell ref="D7:D8"/>
    <mergeCell ref="D10:D11"/>
  </mergeCells>
  <pageMargins left="0.7" right="0.7" top="0.75" bottom="0.75" header="0.3" footer="0.3"/>
  <pageSetup paperSize="9" orientation="portrait"/>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H363"/>
  <sheetViews>
    <sheetView workbookViewId="0">
      <selection activeCell="F23" sqref="F23"/>
    </sheetView>
  </sheetViews>
  <sheetFormatPr defaultColWidth="8.86666666666667" defaultRowHeight="13.5"/>
  <cols>
    <col min="1" max="1" width="6.73333333333333" style="44" customWidth="1"/>
    <col min="2" max="2" width="10.7333333333333" style="44" customWidth="1"/>
    <col min="3" max="3" width="9.86666666666667" style="45" customWidth="1"/>
    <col min="4" max="4" width="15" style="46" customWidth="1"/>
    <col min="5" max="5" width="12.7333333333333" style="45" customWidth="1"/>
    <col min="6" max="6" width="12.7333333333333" style="44" customWidth="1"/>
    <col min="7" max="7" width="12.7333333333333" style="45" customWidth="1"/>
    <col min="8" max="8" width="14.4" style="47" customWidth="1"/>
    <col min="9" max="9" width="7.86666666666667" style="44" customWidth="1"/>
    <col min="10" max="10" width="9.4" style="44" customWidth="1"/>
    <col min="11" max="11" width="11.8666666666667" style="48" customWidth="1"/>
    <col min="12" max="12" width="10.4" style="48" customWidth="1"/>
    <col min="13" max="13" width="10.7333333333333" customWidth="1"/>
    <col min="14" max="14" width="12" customWidth="1"/>
    <col min="15" max="17" width="10.7333333333333" customWidth="1"/>
    <col min="18" max="18" width="8.86666666666667" customWidth="1"/>
    <col min="19" max="25" width="7.4" customWidth="1"/>
    <col min="26" max="26" width="8" customWidth="1"/>
    <col min="27" max="28" width="9" customWidth="1"/>
    <col min="29" max="31" width="7.13333333333333" customWidth="1"/>
  </cols>
  <sheetData>
    <row r="1" customHeight="1" spans="1:34">
      <c r="A1" s="49" t="s">
        <v>832</v>
      </c>
      <c r="B1" s="49" t="s">
        <v>833</v>
      </c>
      <c r="C1" s="50" t="s">
        <v>834</v>
      </c>
      <c r="D1" s="49" t="s">
        <v>835</v>
      </c>
      <c r="E1" s="51" t="s">
        <v>836</v>
      </c>
      <c r="F1" s="52"/>
      <c r="G1" s="50" t="s">
        <v>837</v>
      </c>
      <c r="H1" s="53" t="s">
        <v>838</v>
      </c>
      <c r="I1" s="52"/>
      <c r="J1" s="52"/>
      <c r="K1" s="66" t="s">
        <v>839</v>
      </c>
      <c r="L1" s="66" t="s">
        <v>840</v>
      </c>
      <c r="M1" s="49" t="s">
        <v>841</v>
      </c>
      <c r="N1" s="49" t="s">
        <v>842</v>
      </c>
      <c r="O1" s="49" t="s">
        <v>843</v>
      </c>
      <c r="P1" s="49" t="s">
        <v>844</v>
      </c>
      <c r="Q1" s="49" t="s">
        <v>845</v>
      </c>
      <c r="R1" s="69" t="s">
        <v>846</v>
      </c>
      <c r="S1" s="69" t="s">
        <v>847</v>
      </c>
      <c r="T1" s="69"/>
      <c r="U1" s="69"/>
      <c r="V1" s="69"/>
      <c r="W1" s="69"/>
      <c r="X1" s="69" t="s">
        <v>848</v>
      </c>
      <c r="Y1" s="69"/>
      <c r="Z1" s="69"/>
      <c r="AA1" s="69"/>
      <c r="AB1" s="69"/>
      <c r="AC1" s="69" t="s">
        <v>849</v>
      </c>
      <c r="AD1" s="69"/>
      <c r="AE1" s="69"/>
      <c r="AF1" s="73"/>
      <c r="AG1" s="73"/>
      <c r="AH1" s="73"/>
    </row>
    <row r="2" ht="36" spans="1:34">
      <c r="A2" s="49"/>
      <c r="B2" s="49"/>
      <c r="C2" s="50"/>
      <c r="D2" s="49"/>
      <c r="E2" s="54"/>
      <c r="F2" s="49" t="s">
        <v>850</v>
      </c>
      <c r="G2" s="50"/>
      <c r="H2" s="53"/>
      <c r="I2" s="49" t="s">
        <v>836</v>
      </c>
      <c r="J2" s="49" t="s">
        <v>850</v>
      </c>
      <c r="K2" s="66"/>
      <c r="L2" s="66"/>
      <c r="M2" s="49"/>
      <c r="N2" s="49"/>
      <c r="O2" s="49"/>
      <c r="P2" s="49"/>
      <c r="Q2" s="49"/>
      <c r="R2" s="69"/>
      <c r="S2" s="70" t="s">
        <v>851</v>
      </c>
      <c r="T2" s="70" t="s">
        <v>852</v>
      </c>
      <c r="U2" s="70" t="s">
        <v>853</v>
      </c>
      <c r="V2" s="70" t="s">
        <v>854</v>
      </c>
      <c r="W2" s="70" t="s">
        <v>855</v>
      </c>
      <c r="X2" s="70" t="s">
        <v>851</v>
      </c>
      <c r="Y2" s="70" t="s">
        <v>852</v>
      </c>
      <c r="Z2" s="70" t="s">
        <v>853</v>
      </c>
      <c r="AA2" s="70" t="s">
        <v>854</v>
      </c>
      <c r="AB2" s="70" t="s">
        <v>855</v>
      </c>
      <c r="AC2" s="70"/>
      <c r="AD2" s="73"/>
      <c r="AE2" s="73"/>
      <c r="AF2" s="74">
        <v>0.13</v>
      </c>
      <c r="AG2" s="74"/>
      <c r="AH2" s="73" t="s">
        <v>856</v>
      </c>
    </row>
    <row r="3" ht="18.75" spans="1:34">
      <c r="A3" s="52">
        <v>1</v>
      </c>
      <c r="B3" s="55" t="s">
        <v>857</v>
      </c>
      <c r="C3" s="56" t="s">
        <v>531</v>
      </c>
      <c r="D3" s="56" t="s">
        <v>253</v>
      </c>
      <c r="E3" s="57">
        <v>36</v>
      </c>
      <c r="F3" s="57">
        <v>1.342</v>
      </c>
      <c r="G3" s="57">
        <v>1.132</v>
      </c>
      <c r="H3" s="58">
        <f t="shared" ref="H3:H66" si="0">F3*0.97</f>
        <v>1.30174</v>
      </c>
      <c r="I3" s="52">
        <v>35</v>
      </c>
      <c r="J3" s="52">
        <v>1.214</v>
      </c>
      <c r="K3" s="56">
        <v>1371</v>
      </c>
      <c r="L3" s="56">
        <v>775</v>
      </c>
      <c r="M3" s="57">
        <v>0</v>
      </c>
      <c r="N3" s="57">
        <v>0</v>
      </c>
      <c r="O3" s="57">
        <v>0</v>
      </c>
      <c r="P3" s="57">
        <v>0</v>
      </c>
      <c r="Q3" s="57">
        <v>0</v>
      </c>
      <c r="R3" s="57">
        <v>0.3754</v>
      </c>
      <c r="S3" s="57">
        <v>1.5065</v>
      </c>
      <c r="T3" s="57">
        <v>1.4002</v>
      </c>
      <c r="U3" s="57">
        <v>0.8745</v>
      </c>
      <c r="V3" s="57">
        <v>0.3748</v>
      </c>
      <c r="W3" s="57">
        <f t="shared" ref="W3:W19" si="1">IF(T3="",U3,T3*40%+U3*60%)</f>
        <v>1.08478</v>
      </c>
      <c r="X3" s="57">
        <v>1.0941</v>
      </c>
      <c r="Y3" s="57">
        <v>1.0044</v>
      </c>
      <c r="Z3" s="57">
        <v>0.695</v>
      </c>
      <c r="AA3" s="57">
        <v>0.3946</v>
      </c>
      <c r="AB3" s="57">
        <f>IF(Y3="",Z3,Y3*0.4+Z3*0.6)</f>
        <v>0.81876</v>
      </c>
      <c r="AC3" s="73"/>
      <c r="AD3" s="57"/>
      <c r="AE3" s="73"/>
      <c r="AF3" s="58">
        <v>0.81</v>
      </c>
      <c r="AG3" s="58">
        <f>1-(W3-AF3)/W3</f>
        <v>0.746695182433304</v>
      </c>
      <c r="AH3" s="58">
        <v>0.76</v>
      </c>
    </row>
    <row r="4" ht="18.75" spans="1:34">
      <c r="A4" s="57"/>
      <c r="B4" s="55" t="s">
        <v>857</v>
      </c>
      <c r="C4" s="56" t="s">
        <v>430</v>
      </c>
      <c r="D4" s="56" t="s">
        <v>255</v>
      </c>
      <c r="E4" s="57">
        <v>25</v>
      </c>
      <c r="F4" s="57">
        <v>1.096</v>
      </c>
      <c r="G4" s="57">
        <v>1.015</v>
      </c>
      <c r="H4" s="58">
        <f t="shared" si="0"/>
        <v>1.06312</v>
      </c>
      <c r="I4" s="57">
        <v>25</v>
      </c>
      <c r="J4" s="57">
        <v>1.179</v>
      </c>
      <c r="K4" s="56">
        <v>1274</v>
      </c>
      <c r="L4" s="56">
        <v>847</v>
      </c>
      <c r="M4" s="57">
        <v>0</v>
      </c>
      <c r="N4" s="67">
        <v>0.25</v>
      </c>
      <c r="O4" s="67">
        <v>5</v>
      </c>
      <c r="P4" s="57">
        <v>0</v>
      </c>
      <c r="Q4" s="57">
        <v>0</v>
      </c>
      <c r="R4" s="57">
        <v>0.4359</v>
      </c>
      <c r="S4" s="57"/>
      <c r="T4" s="71">
        <v>1.196</v>
      </c>
      <c r="U4" s="71">
        <v>0.734</v>
      </c>
      <c r="V4" s="71">
        <v>0.357</v>
      </c>
      <c r="W4" s="57">
        <f t="shared" si="1"/>
        <v>0.9188</v>
      </c>
      <c r="X4" s="57"/>
      <c r="Y4" s="57"/>
      <c r="Z4" s="57"/>
      <c r="AA4" s="57"/>
      <c r="AB4" s="57">
        <f t="shared" ref="AB4:AB67" si="2">IF(Y4="",Z4,Y4*0.4+Z4*0.6)</f>
        <v>0</v>
      </c>
      <c r="AC4" s="57">
        <v>0.617</v>
      </c>
      <c r="AD4" s="57">
        <v>0.667</v>
      </c>
      <c r="AE4" s="57">
        <v>0.917</v>
      </c>
      <c r="AF4" s="58">
        <v>0.72</v>
      </c>
      <c r="AG4" s="58">
        <f t="shared" ref="AG4:AG67" si="3">1-(W4-AF4)/W4</f>
        <v>0.783630822812364</v>
      </c>
      <c r="AH4" s="58">
        <v>0.7</v>
      </c>
    </row>
    <row r="5" ht="18.75" spans="1:34">
      <c r="A5" s="52">
        <v>3</v>
      </c>
      <c r="B5" s="55" t="s">
        <v>857</v>
      </c>
      <c r="C5" s="56" t="s">
        <v>858</v>
      </c>
      <c r="D5" s="56" t="s">
        <v>254</v>
      </c>
      <c r="E5" s="57">
        <v>35</v>
      </c>
      <c r="F5" s="57">
        <v>1.256</v>
      </c>
      <c r="G5" s="57">
        <v>1.094</v>
      </c>
      <c r="H5" s="58">
        <f t="shared" si="0"/>
        <v>1.21832</v>
      </c>
      <c r="I5" s="52">
        <v>35</v>
      </c>
      <c r="J5" s="52">
        <v>1.318</v>
      </c>
      <c r="K5" s="56">
        <v>1340</v>
      </c>
      <c r="L5" s="56">
        <v>803</v>
      </c>
      <c r="M5" s="57">
        <v>0</v>
      </c>
      <c r="N5" s="57">
        <v>0</v>
      </c>
      <c r="O5" s="57">
        <v>0</v>
      </c>
      <c r="P5" s="57">
        <v>0</v>
      </c>
      <c r="Q5" s="57">
        <v>0</v>
      </c>
      <c r="R5" s="57">
        <v>0.3815</v>
      </c>
      <c r="S5" s="72"/>
      <c r="T5" s="57">
        <v>1.3454</v>
      </c>
      <c r="U5" s="57">
        <v>0.8999</v>
      </c>
      <c r="V5" s="57">
        <v>0.4744</v>
      </c>
      <c r="W5" s="57">
        <f t="shared" si="1"/>
        <v>1.0781</v>
      </c>
      <c r="X5" s="57"/>
      <c r="Y5" s="57">
        <v>0.9964</v>
      </c>
      <c r="Z5" s="57">
        <v>0.7109</v>
      </c>
      <c r="AA5" s="57">
        <v>0.4414</v>
      </c>
      <c r="AB5" s="57">
        <f t="shared" si="2"/>
        <v>0.8251</v>
      </c>
      <c r="AC5" s="57">
        <v>0.48</v>
      </c>
      <c r="AD5" s="73"/>
      <c r="AE5" s="73"/>
      <c r="AF5" s="58">
        <v>0.76</v>
      </c>
      <c r="AG5" s="58">
        <f t="shared" si="3"/>
        <v>0.704943882756702</v>
      </c>
      <c r="AH5" s="58">
        <v>0.7</v>
      </c>
    </row>
    <row r="6" ht="18.75" spans="1:34">
      <c r="A6" s="52">
        <v>4</v>
      </c>
      <c r="B6" s="55" t="s">
        <v>857</v>
      </c>
      <c r="C6" s="56" t="s">
        <v>859</v>
      </c>
      <c r="D6" s="56" t="s">
        <v>256</v>
      </c>
      <c r="E6" s="57">
        <v>10</v>
      </c>
      <c r="F6" s="57">
        <v>0.692</v>
      </c>
      <c r="G6" s="59">
        <v>0.684</v>
      </c>
      <c r="H6" s="60">
        <f t="shared" si="0"/>
        <v>0.67124</v>
      </c>
      <c r="I6" s="52">
        <v>8</v>
      </c>
      <c r="J6" s="52">
        <v>0.686</v>
      </c>
      <c r="K6" s="56">
        <v>884</v>
      </c>
      <c r="L6" s="56">
        <v>677</v>
      </c>
      <c r="M6" s="57">
        <v>0</v>
      </c>
      <c r="N6" s="57">
        <v>0</v>
      </c>
      <c r="O6" s="57">
        <v>0</v>
      </c>
      <c r="P6" s="57">
        <v>0</v>
      </c>
      <c r="Q6" s="57">
        <v>0</v>
      </c>
      <c r="R6" s="57">
        <v>0.4213</v>
      </c>
      <c r="S6" s="73"/>
      <c r="T6" s="73"/>
      <c r="U6" s="73"/>
      <c r="V6" s="73"/>
      <c r="W6" s="57">
        <f t="shared" si="1"/>
        <v>0</v>
      </c>
      <c r="X6" s="73"/>
      <c r="Y6" s="73"/>
      <c r="Z6" s="73"/>
      <c r="AA6" s="73"/>
      <c r="AB6" s="57">
        <f t="shared" si="2"/>
        <v>0</v>
      </c>
      <c r="AC6" s="57">
        <v>0.51</v>
      </c>
      <c r="AD6" s="57">
        <v>0.56</v>
      </c>
      <c r="AE6" s="57">
        <v>0.81</v>
      </c>
      <c r="AF6" s="73"/>
      <c r="AG6" s="58" t="e">
        <f t="shared" si="3"/>
        <v>#DIV/0!</v>
      </c>
      <c r="AH6" s="73"/>
    </row>
    <row r="7" ht="14.25" spans="1:34">
      <c r="A7" s="52">
        <v>5</v>
      </c>
      <c r="B7" s="61" t="s">
        <v>860</v>
      </c>
      <c r="C7" s="62" t="s">
        <v>861</v>
      </c>
      <c r="D7" s="63" t="s">
        <v>579</v>
      </c>
      <c r="E7" s="57">
        <v>43</v>
      </c>
      <c r="F7" s="63">
        <v>1.384</v>
      </c>
      <c r="G7" s="57">
        <v>1.098</v>
      </c>
      <c r="H7" s="58">
        <f t="shared" si="0"/>
        <v>1.34248</v>
      </c>
      <c r="I7" s="52">
        <v>40</v>
      </c>
      <c r="J7" s="52">
        <v>1.268</v>
      </c>
      <c r="K7" s="56">
        <v>1316</v>
      </c>
      <c r="L7" s="56">
        <v>609</v>
      </c>
      <c r="M7" s="57">
        <v>0</v>
      </c>
      <c r="N7" s="57">
        <v>0</v>
      </c>
      <c r="O7" s="57">
        <v>0</v>
      </c>
      <c r="P7" s="57">
        <v>0</v>
      </c>
      <c r="Q7" s="57">
        <v>0</v>
      </c>
      <c r="R7" s="57">
        <v>0.3864</v>
      </c>
      <c r="S7" s="57"/>
      <c r="T7" s="57"/>
      <c r="U7" s="57">
        <v>0.876</v>
      </c>
      <c r="V7" s="57"/>
      <c r="W7" s="57">
        <f t="shared" si="1"/>
        <v>0.876</v>
      </c>
      <c r="X7" s="57"/>
      <c r="Y7" s="57"/>
      <c r="Z7" s="57">
        <v>0.593</v>
      </c>
      <c r="AA7" s="57"/>
      <c r="AB7" s="57">
        <f t="shared" si="2"/>
        <v>0.593</v>
      </c>
      <c r="AC7" s="57">
        <v>0.5</v>
      </c>
      <c r="AD7" s="57"/>
      <c r="AE7" s="57"/>
      <c r="AF7" s="58">
        <v>0.78</v>
      </c>
      <c r="AG7" s="58">
        <f t="shared" si="3"/>
        <v>0.89041095890411</v>
      </c>
      <c r="AH7" s="58">
        <v>0.73</v>
      </c>
    </row>
    <row r="8" ht="14.25" spans="1:34">
      <c r="A8" s="52">
        <v>6</v>
      </c>
      <c r="B8" s="61" t="s">
        <v>860</v>
      </c>
      <c r="C8" s="62" t="s">
        <v>861</v>
      </c>
      <c r="D8" s="52" t="s">
        <v>862</v>
      </c>
      <c r="E8" s="57">
        <v>47</v>
      </c>
      <c r="F8" s="52">
        <v>1.66</v>
      </c>
      <c r="G8" s="57">
        <v>1.203</v>
      </c>
      <c r="H8" s="60">
        <f t="shared" si="0"/>
        <v>1.6102</v>
      </c>
      <c r="I8" s="52">
        <v>43</v>
      </c>
      <c r="J8" s="52">
        <v>1.388</v>
      </c>
      <c r="K8" s="59">
        <v>1444</v>
      </c>
      <c r="L8" s="56">
        <v>555</v>
      </c>
      <c r="M8" s="57">
        <v>0</v>
      </c>
      <c r="N8" s="57">
        <v>0</v>
      </c>
      <c r="O8" s="57">
        <v>0</v>
      </c>
      <c r="P8" s="57">
        <v>0</v>
      </c>
      <c r="Q8" s="57">
        <v>0</v>
      </c>
      <c r="R8" s="57">
        <v>0.3864</v>
      </c>
      <c r="S8" s="57"/>
      <c r="T8" s="57"/>
      <c r="U8" s="57">
        <v>0.876</v>
      </c>
      <c r="V8" s="57"/>
      <c r="W8" s="57">
        <f t="shared" si="1"/>
        <v>0.876</v>
      </c>
      <c r="X8" s="57"/>
      <c r="Y8" s="57"/>
      <c r="Z8" s="57">
        <v>0.593</v>
      </c>
      <c r="AA8" s="57"/>
      <c r="AB8" s="57">
        <f t="shared" si="2"/>
        <v>0.593</v>
      </c>
      <c r="AC8" s="57">
        <v>0.5</v>
      </c>
      <c r="AD8" s="57"/>
      <c r="AE8" s="57"/>
      <c r="AF8" s="73"/>
      <c r="AG8" s="58">
        <f t="shared" si="3"/>
        <v>0</v>
      </c>
      <c r="AH8" s="73"/>
    </row>
    <row r="9" ht="14.25" spans="1:34">
      <c r="A9" s="52">
        <v>7</v>
      </c>
      <c r="B9" s="61" t="s">
        <v>860</v>
      </c>
      <c r="C9" s="62" t="s">
        <v>861</v>
      </c>
      <c r="D9" s="52" t="s">
        <v>863</v>
      </c>
      <c r="E9" s="57">
        <v>41</v>
      </c>
      <c r="F9" s="52">
        <v>1.355</v>
      </c>
      <c r="G9" s="57">
        <v>1.101</v>
      </c>
      <c r="H9" s="58">
        <f t="shared" si="0"/>
        <v>1.31435</v>
      </c>
      <c r="I9" s="52">
        <v>40</v>
      </c>
      <c r="J9" s="52">
        <v>1.301</v>
      </c>
      <c r="K9" s="59">
        <v>1331</v>
      </c>
      <c r="L9" s="56">
        <v>665</v>
      </c>
      <c r="M9" s="57">
        <v>0</v>
      </c>
      <c r="N9" s="57">
        <v>0</v>
      </c>
      <c r="O9" s="57">
        <v>0</v>
      </c>
      <c r="P9" s="57">
        <v>0</v>
      </c>
      <c r="Q9" s="57">
        <v>0</v>
      </c>
      <c r="R9" s="57">
        <v>0.3864</v>
      </c>
      <c r="S9" s="57"/>
      <c r="T9" s="57"/>
      <c r="U9" s="57">
        <v>0.876</v>
      </c>
      <c r="V9" s="57"/>
      <c r="W9" s="57">
        <f t="shared" si="1"/>
        <v>0.876</v>
      </c>
      <c r="X9" s="57"/>
      <c r="Y9" s="57"/>
      <c r="Z9" s="57">
        <v>0.593</v>
      </c>
      <c r="AA9" s="57"/>
      <c r="AB9" s="57">
        <f t="shared" si="2"/>
        <v>0.593</v>
      </c>
      <c r="AC9" s="57">
        <v>0.5</v>
      </c>
      <c r="AD9" s="57"/>
      <c r="AE9" s="57"/>
      <c r="AF9" s="73"/>
      <c r="AG9" s="58">
        <f t="shared" si="3"/>
        <v>0</v>
      </c>
      <c r="AH9" s="73"/>
    </row>
    <row r="10" ht="14.25" spans="1:34">
      <c r="A10" s="52">
        <v>8</v>
      </c>
      <c r="B10" s="61" t="s">
        <v>860</v>
      </c>
      <c r="C10" s="62" t="s">
        <v>861</v>
      </c>
      <c r="D10" s="52" t="s">
        <v>578</v>
      </c>
      <c r="E10" s="57">
        <v>44</v>
      </c>
      <c r="F10" s="52">
        <v>1.365</v>
      </c>
      <c r="G10" s="57">
        <v>1.052</v>
      </c>
      <c r="H10" s="58">
        <f t="shared" si="0"/>
        <v>1.32405</v>
      </c>
      <c r="I10" s="52">
        <v>43</v>
      </c>
      <c r="J10" s="52">
        <v>1.241</v>
      </c>
      <c r="K10" s="56">
        <v>1272</v>
      </c>
      <c r="L10" s="56">
        <v>621</v>
      </c>
      <c r="M10" s="57">
        <v>0</v>
      </c>
      <c r="N10" s="57">
        <v>0</v>
      </c>
      <c r="O10" s="57">
        <v>0</v>
      </c>
      <c r="P10" s="57">
        <v>0</v>
      </c>
      <c r="Q10" s="57">
        <v>0</v>
      </c>
      <c r="R10" s="57">
        <v>0.3864</v>
      </c>
      <c r="S10" s="57"/>
      <c r="T10" s="57"/>
      <c r="U10" s="57">
        <v>0.876</v>
      </c>
      <c r="V10" s="57"/>
      <c r="W10" s="57">
        <f t="shared" si="1"/>
        <v>0.876</v>
      </c>
      <c r="X10" s="57"/>
      <c r="Y10" s="57"/>
      <c r="Z10" s="57">
        <v>0.593</v>
      </c>
      <c r="AA10" s="57"/>
      <c r="AB10" s="57">
        <f t="shared" si="2"/>
        <v>0.593</v>
      </c>
      <c r="AC10" s="57">
        <v>0.5</v>
      </c>
      <c r="AD10" s="57"/>
      <c r="AE10" s="57"/>
      <c r="AF10" s="73"/>
      <c r="AG10" s="58">
        <f t="shared" si="3"/>
        <v>0</v>
      </c>
      <c r="AH10" s="73"/>
    </row>
    <row r="11" ht="14.25" spans="1:34">
      <c r="A11" s="52">
        <v>9</v>
      </c>
      <c r="B11" s="61" t="s">
        <v>860</v>
      </c>
      <c r="C11" s="62" t="s">
        <v>861</v>
      </c>
      <c r="D11" s="52" t="s">
        <v>864</v>
      </c>
      <c r="E11" s="57">
        <v>44</v>
      </c>
      <c r="F11" s="52">
        <v>1.423</v>
      </c>
      <c r="G11" s="57">
        <v>1.112</v>
      </c>
      <c r="H11" s="58">
        <f t="shared" si="0"/>
        <v>1.38031</v>
      </c>
      <c r="I11" s="52">
        <v>41</v>
      </c>
      <c r="J11" s="52">
        <v>1.308</v>
      </c>
      <c r="K11" s="56">
        <v>1319</v>
      </c>
      <c r="L11" s="56">
        <v>628</v>
      </c>
      <c r="M11" s="57">
        <v>0</v>
      </c>
      <c r="N11" s="57">
        <v>0</v>
      </c>
      <c r="O11" s="57">
        <v>0</v>
      </c>
      <c r="P11" s="57">
        <v>0</v>
      </c>
      <c r="Q11" s="57">
        <v>0</v>
      </c>
      <c r="R11" s="57">
        <v>0.3864</v>
      </c>
      <c r="S11" s="57"/>
      <c r="T11" s="57"/>
      <c r="U11" s="57">
        <v>0.876</v>
      </c>
      <c r="V11" s="57"/>
      <c r="W11" s="57">
        <f t="shared" si="1"/>
        <v>0.876</v>
      </c>
      <c r="X11" s="57"/>
      <c r="Y11" s="57"/>
      <c r="Z11" s="57">
        <v>0.593</v>
      </c>
      <c r="AA11" s="57"/>
      <c r="AB11" s="57">
        <f t="shared" si="2"/>
        <v>0.593</v>
      </c>
      <c r="AC11" s="57">
        <v>0.5</v>
      </c>
      <c r="AD11" s="57"/>
      <c r="AE11" s="57"/>
      <c r="AF11" s="73"/>
      <c r="AG11" s="58">
        <f t="shared" si="3"/>
        <v>0</v>
      </c>
      <c r="AH11" s="73"/>
    </row>
    <row r="12" ht="14.25" spans="1:34">
      <c r="A12" s="52">
        <v>10</v>
      </c>
      <c r="B12" s="61" t="s">
        <v>860</v>
      </c>
      <c r="C12" s="62" t="s">
        <v>861</v>
      </c>
      <c r="D12" s="52" t="s">
        <v>865</v>
      </c>
      <c r="E12" s="57">
        <v>43</v>
      </c>
      <c r="F12" s="52">
        <v>1.364</v>
      </c>
      <c r="G12" s="57">
        <v>1.042</v>
      </c>
      <c r="H12" s="58">
        <f t="shared" si="0"/>
        <v>1.32308</v>
      </c>
      <c r="I12" s="52">
        <v>43</v>
      </c>
      <c r="J12" s="52">
        <v>1.272</v>
      </c>
      <c r="K12" s="56">
        <v>1263</v>
      </c>
      <c r="L12" s="56">
        <v>619</v>
      </c>
      <c r="M12" s="57">
        <v>0</v>
      </c>
      <c r="N12" s="57">
        <v>0</v>
      </c>
      <c r="O12" s="57">
        <v>0</v>
      </c>
      <c r="P12" s="57">
        <v>0</v>
      </c>
      <c r="Q12" s="57">
        <v>0</v>
      </c>
      <c r="R12" s="57">
        <v>0.3864</v>
      </c>
      <c r="S12" s="57"/>
      <c r="T12" s="57"/>
      <c r="U12" s="57">
        <v>0.876</v>
      </c>
      <c r="V12" s="57"/>
      <c r="W12" s="57">
        <f t="shared" si="1"/>
        <v>0.876</v>
      </c>
      <c r="X12" s="57"/>
      <c r="Y12" s="57"/>
      <c r="Z12" s="57">
        <v>0.593</v>
      </c>
      <c r="AA12" s="57"/>
      <c r="AB12" s="57">
        <f t="shared" si="2"/>
        <v>0.593</v>
      </c>
      <c r="AC12" s="57">
        <v>0.5</v>
      </c>
      <c r="AD12" s="57"/>
      <c r="AE12" s="57"/>
      <c r="AF12" s="73"/>
      <c r="AG12" s="58">
        <f t="shared" si="3"/>
        <v>0</v>
      </c>
      <c r="AH12" s="73"/>
    </row>
    <row r="13" ht="14.25" spans="1:34">
      <c r="A13" s="52">
        <v>11</v>
      </c>
      <c r="B13" s="61" t="s">
        <v>860</v>
      </c>
      <c r="C13" s="62" t="s">
        <v>861</v>
      </c>
      <c r="D13" s="52" t="s">
        <v>866</v>
      </c>
      <c r="E13" s="57">
        <v>44</v>
      </c>
      <c r="F13" s="52">
        <v>1.377</v>
      </c>
      <c r="G13" s="57">
        <v>1.071</v>
      </c>
      <c r="H13" s="58">
        <f t="shared" si="0"/>
        <v>1.33569</v>
      </c>
      <c r="I13" s="52">
        <v>43</v>
      </c>
      <c r="J13" s="52">
        <v>1.272</v>
      </c>
      <c r="K13" s="56">
        <v>1276</v>
      </c>
      <c r="L13" s="56">
        <v>616</v>
      </c>
      <c r="M13" s="57">
        <v>0</v>
      </c>
      <c r="N13" s="57">
        <v>0</v>
      </c>
      <c r="O13" s="57">
        <v>0</v>
      </c>
      <c r="P13" s="57">
        <v>0</v>
      </c>
      <c r="Q13" s="57">
        <v>0</v>
      </c>
      <c r="R13" s="57">
        <v>0.3864</v>
      </c>
      <c r="S13" s="57"/>
      <c r="T13" s="57"/>
      <c r="U13" s="57">
        <v>0.876</v>
      </c>
      <c r="V13" s="57"/>
      <c r="W13" s="57">
        <f t="shared" si="1"/>
        <v>0.876</v>
      </c>
      <c r="X13" s="57"/>
      <c r="Y13" s="57"/>
      <c r="Z13" s="57">
        <v>0.593</v>
      </c>
      <c r="AA13" s="57"/>
      <c r="AB13" s="57">
        <f t="shared" si="2"/>
        <v>0.593</v>
      </c>
      <c r="AC13" s="57">
        <v>0.5</v>
      </c>
      <c r="AD13" s="57"/>
      <c r="AE13" s="57"/>
      <c r="AF13" s="73"/>
      <c r="AG13" s="58">
        <f t="shared" si="3"/>
        <v>0</v>
      </c>
      <c r="AH13" s="73"/>
    </row>
    <row r="14" ht="14.25" spans="1:34">
      <c r="A14" s="52">
        <v>12</v>
      </c>
      <c r="B14" s="61" t="s">
        <v>860</v>
      </c>
      <c r="C14" s="62" t="s">
        <v>861</v>
      </c>
      <c r="D14" s="52" t="s">
        <v>575</v>
      </c>
      <c r="E14" s="57">
        <v>49</v>
      </c>
      <c r="F14" s="52">
        <v>1.511</v>
      </c>
      <c r="G14" s="57">
        <v>1.067</v>
      </c>
      <c r="H14" s="60">
        <f t="shared" si="0"/>
        <v>1.46567</v>
      </c>
      <c r="I14" s="52">
        <v>46</v>
      </c>
      <c r="J14" s="52">
        <v>1.415</v>
      </c>
      <c r="K14" s="56">
        <v>1283</v>
      </c>
      <c r="L14" s="56">
        <v>544</v>
      </c>
      <c r="M14" s="57">
        <v>0</v>
      </c>
      <c r="N14" s="57">
        <v>0</v>
      </c>
      <c r="O14" s="57">
        <v>0</v>
      </c>
      <c r="P14" s="57">
        <v>0</v>
      </c>
      <c r="Q14" s="57">
        <v>0</v>
      </c>
      <c r="R14" s="57">
        <v>0.3864</v>
      </c>
      <c r="S14" s="57"/>
      <c r="T14" s="57"/>
      <c r="U14" s="57">
        <v>0.876</v>
      </c>
      <c r="V14" s="57"/>
      <c r="W14" s="57">
        <f t="shared" si="1"/>
        <v>0.876</v>
      </c>
      <c r="X14" s="57"/>
      <c r="Y14" s="57"/>
      <c r="Z14" s="57">
        <v>0.593</v>
      </c>
      <c r="AA14" s="57"/>
      <c r="AB14" s="57">
        <f t="shared" si="2"/>
        <v>0.593</v>
      </c>
      <c r="AC14" s="57">
        <v>0.5</v>
      </c>
      <c r="AD14" s="57"/>
      <c r="AE14" s="57"/>
      <c r="AF14" s="73"/>
      <c r="AG14" s="58">
        <f t="shared" si="3"/>
        <v>0</v>
      </c>
      <c r="AH14" s="73"/>
    </row>
    <row r="15" ht="14.25" spans="1:34">
      <c r="A15" s="52">
        <v>13</v>
      </c>
      <c r="B15" s="61" t="s">
        <v>860</v>
      </c>
      <c r="C15" s="62" t="s">
        <v>861</v>
      </c>
      <c r="D15" s="52" t="s">
        <v>867</v>
      </c>
      <c r="E15" s="57">
        <v>44</v>
      </c>
      <c r="F15" s="52">
        <v>1.476</v>
      </c>
      <c r="G15" s="57">
        <v>1.132</v>
      </c>
      <c r="H15" s="60">
        <f t="shared" si="0"/>
        <v>1.43172</v>
      </c>
      <c r="I15" s="52">
        <v>41</v>
      </c>
      <c r="J15" s="52">
        <v>1.331</v>
      </c>
      <c r="K15" s="56">
        <v>1363</v>
      </c>
      <c r="L15" s="56">
        <v>616</v>
      </c>
      <c r="M15" s="57">
        <v>0</v>
      </c>
      <c r="N15" s="57">
        <v>0</v>
      </c>
      <c r="O15" s="57">
        <v>0</v>
      </c>
      <c r="P15" s="57">
        <v>0</v>
      </c>
      <c r="Q15" s="57">
        <v>0</v>
      </c>
      <c r="R15" s="57">
        <v>0.3864</v>
      </c>
      <c r="S15" s="57"/>
      <c r="T15" s="57"/>
      <c r="U15" s="57">
        <v>0.876</v>
      </c>
      <c r="V15" s="57"/>
      <c r="W15" s="57">
        <f t="shared" si="1"/>
        <v>0.876</v>
      </c>
      <c r="X15" s="57"/>
      <c r="Y15" s="57"/>
      <c r="Z15" s="57">
        <v>0.593</v>
      </c>
      <c r="AA15" s="57"/>
      <c r="AB15" s="57">
        <f t="shared" si="2"/>
        <v>0.593</v>
      </c>
      <c r="AC15" s="57">
        <v>0.5</v>
      </c>
      <c r="AD15" s="57"/>
      <c r="AE15" s="57"/>
      <c r="AF15" s="73"/>
      <c r="AG15" s="58">
        <f t="shared" si="3"/>
        <v>0</v>
      </c>
      <c r="AH15" s="73"/>
    </row>
    <row r="16" ht="14.25" spans="1:34">
      <c r="A16" s="52">
        <v>14</v>
      </c>
      <c r="B16" s="61" t="s">
        <v>860</v>
      </c>
      <c r="C16" s="62" t="s">
        <v>861</v>
      </c>
      <c r="D16" s="52" t="s">
        <v>868</v>
      </c>
      <c r="E16" s="57">
        <v>51</v>
      </c>
      <c r="F16" s="52">
        <v>1.347</v>
      </c>
      <c r="G16" s="57">
        <v>0.907</v>
      </c>
      <c r="H16" s="58">
        <f t="shared" si="0"/>
        <v>1.30659</v>
      </c>
      <c r="I16" s="52">
        <v>49</v>
      </c>
      <c r="J16" s="52">
        <v>1.384</v>
      </c>
      <c r="K16" s="56">
        <v>1084</v>
      </c>
      <c r="L16" s="56">
        <v>498</v>
      </c>
      <c r="M16" s="57">
        <v>0</v>
      </c>
      <c r="N16" s="57">
        <v>0</v>
      </c>
      <c r="O16" s="57">
        <v>0</v>
      </c>
      <c r="P16" s="57">
        <v>0</v>
      </c>
      <c r="Q16" s="57">
        <v>0</v>
      </c>
      <c r="R16" s="57">
        <v>0.3864</v>
      </c>
      <c r="S16" s="57"/>
      <c r="T16" s="57"/>
      <c r="U16" s="57">
        <v>0.876</v>
      </c>
      <c r="V16" s="57"/>
      <c r="W16" s="57">
        <f t="shared" si="1"/>
        <v>0.876</v>
      </c>
      <c r="X16" s="57"/>
      <c r="Y16" s="57"/>
      <c r="Z16" s="57">
        <v>0.593</v>
      </c>
      <c r="AA16" s="57"/>
      <c r="AB16" s="57">
        <f t="shared" si="2"/>
        <v>0.593</v>
      </c>
      <c r="AC16" s="57">
        <v>0.5</v>
      </c>
      <c r="AD16" s="57"/>
      <c r="AE16" s="57"/>
      <c r="AF16" s="73"/>
      <c r="AG16" s="58">
        <f t="shared" si="3"/>
        <v>0</v>
      </c>
      <c r="AH16" s="73"/>
    </row>
    <row r="17" ht="14.25" spans="1:34">
      <c r="A17" s="52">
        <v>15</v>
      </c>
      <c r="B17" s="61" t="s">
        <v>860</v>
      </c>
      <c r="C17" s="62" t="s">
        <v>861</v>
      </c>
      <c r="D17" s="52" t="s">
        <v>869</v>
      </c>
      <c r="E17" s="57">
        <v>46</v>
      </c>
      <c r="F17" s="52">
        <v>1.487</v>
      </c>
      <c r="G17" s="57">
        <v>1.09</v>
      </c>
      <c r="H17" s="60">
        <f t="shared" si="0"/>
        <v>1.44239</v>
      </c>
      <c r="I17" s="52">
        <v>45</v>
      </c>
      <c r="J17" s="52">
        <v>1.364</v>
      </c>
      <c r="K17" s="56">
        <v>1287</v>
      </c>
      <c r="L17" s="56">
        <v>567</v>
      </c>
      <c r="M17" s="57">
        <v>0</v>
      </c>
      <c r="N17" s="57">
        <v>0</v>
      </c>
      <c r="O17" s="57">
        <v>0</v>
      </c>
      <c r="P17" s="57">
        <v>0</v>
      </c>
      <c r="Q17" s="57">
        <v>0</v>
      </c>
      <c r="R17" s="57">
        <v>0.3864</v>
      </c>
      <c r="S17" s="57"/>
      <c r="T17" s="57"/>
      <c r="U17" s="57">
        <v>0.876</v>
      </c>
      <c r="V17" s="57"/>
      <c r="W17" s="57">
        <f t="shared" si="1"/>
        <v>0.876</v>
      </c>
      <c r="X17" s="57"/>
      <c r="Y17" s="57"/>
      <c r="Z17" s="57">
        <v>0.593</v>
      </c>
      <c r="AA17" s="57"/>
      <c r="AB17" s="57">
        <f t="shared" si="2"/>
        <v>0.593</v>
      </c>
      <c r="AC17" s="57">
        <v>0.5</v>
      </c>
      <c r="AD17" s="57"/>
      <c r="AE17" s="57"/>
      <c r="AF17" s="73"/>
      <c r="AG17" s="58">
        <f t="shared" si="3"/>
        <v>0</v>
      </c>
      <c r="AH17" s="73"/>
    </row>
    <row r="18" ht="14.25" spans="1:34">
      <c r="A18" s="52">
        <v>16</v>
      </c>
      <c r="B18" s="61" t="s">
        <v>860</v>
      </c>
      <c r="C18" s="62" t="s">
        <v>861</v>
      </c>
      <c r="D18" s="52" t="s">
        <v>870</v>
      </c>
      <c r="E18" s="57">
        <v>44</v>
      </c>
      <c r="F18" s="52">
        <v>1.377</v>
      </c>
      <c r="G18" s="57">
        <v>1.082</v>
      </c>
      <c r="H18" s="58">
        <f t="shared" si="0"/>
        <v>1.33569</v>
      </c>
      <c r="I18" s="52">
        <v>42</v>
      </c>
      <c r="J18" s="52">
        <v>1.272</v>
      </c>
      <c r="K18" s="56">
        <v>1294</v>
      </c>
      <c r="L18" s="56">
        <v>636</v>
      </c>
      <c r="M18" s="57">
        <v>0</v>
      </c>
      <c r="N18" s="57">
        <v>0</v>
      </c>
      <c r="O18" s="57">
        <v>0</v>
      </c>
      <c r="P18" s="57">
        <v>0</v>
      </c>
      <c r="Q18" s="57">
        <v>0</v>
      </c>
      <c r="R18" s="57">
        <v>0.3864</v>
      </c>
      <c r="S18" s="57"/>
      <c r="T18" s="57"/>
      <c r="U18" s="57">
        <v>0.876</v>
      </c>
      <c r="V18" s="57"/>
      <c r="W18" s="57">
        <f t="shared" si="1"/>
        <v>0.876</v>
      </c>
      <c r="X18" s="57"/>
      <c r="Y18" s="57"/>
      <c r="Z18" s="57">
        <v>0.593</v>
      </c>
      <c r="AA18" s="57"/>
      <c r="AB18" s="57">
        <f t="shared" si="2"/>
        <v>0.593</v>
      </c>
      <c r="AC18" s="57">
        <v>0.5</v>
      </c>
      <c r="AD18" s="57"/>
      <c r="AE18" s="57"/>
      <c r="AF18" s="73"/>
      <c r="AG18" s="58">
        <f t="shared" si="3"/>
        <v>0</v>
      </c>
      <c r="AH18" s="73"/>
    </row>
    <row r="19" ht="14.25" spans="1:34">
      <c r="A19" s="52">
        <v>17</v>
      </c>
      <c r="B19" s="61" t="s">
        <v>860</v>
      </c>
      <c r="C19" s="62" t="s">
        <v>861</v>
      </c>
      <c r="D19" s="52" t="s">
        <v>871</v>
      </c>
      <c r="E19" s="57">
        <v>44</v>
      </c>
      <c r="F19" s="52">
        <v>1.397</v>
      </c>
      <c r="G19" s="57">
        <v>1.086</v>
      </c>
      <c r="H19" s="58">
        <f t="shared" si="0"/>
        <v>1.35509</v>
      </c>
      <c r="I19" s="52">
        <v>42</v>
      </c>
      <c r="J19" s="52">
        <v>1.304</v>
      </c>
      <c r="K19" s="56">
        <v>1308</v>
      </c>
      <c r="L19" s="56">
        <v>601</v>
      </c>
      <c r="M19" s="57">
        <v>0</v>
      </c>
      <c r="N19" s="57">
        <v>0</v>
      </c>
      <c r="O19" s="57">
        <v>0</v>
      </c>
      <c r="P19" s="57">
        <v>0</v>
      </c>
      <c r="Q19" s="57">
        <v>0</v>
      </c>
      <c r="R19" s="57">
        <v>0.3864</v>
      </c>
      <c r="S19" s="57"/>
      <c r="T19" s="57"/>
      <c r="U19" s="57">
        <v>0.876</v>
      </c>
      <c r="V19" s="57"/>
      <c r="W19" s="57">
        <f t="shared" si="1"/>
        <v>0.876</v>
      </c>
      <c r="X19" s="57"/>
      <c r="Y19" s="57"/>
      <c r="Z19" s="57">
        <v>0.593</v>
      </c>
      <c r="AA19" s="57"/>
      <c r="AB19" s="57">
        <f t="shared" si="2"/>
        <v>0.593</v>
      </c>
      <c r="AC19" s="57">
        <v>0.5</v>
      </c>
      <c r="AD19" s="57"/>
      <c r="AE19" s="57"/>
      <c r="AF19" s="73"/>
      <c r="AG19" s="58">
        <f t="shared" si="3"/>
        <v>0</v>
      </c>
      <c r="AH19" s="73"/>
    </row>
    <row r="20" ht="14.25" spans="1:34">
      <c r="A20" s="57">
        <v>18</v>
      </c>
      <c r="B20" s="61" t="s">
        <v>860</v>
      </c>
      <c r="C20" s="62" t="s">
        <v>533</v>
      </c>
      <c r="D20" s="63" t="s">
        <v>571</v>
      </c>
      <c r="E20" s="57">
        <v>43</v>
      </c>
      <c r="F20" s="57">
        <v>1.495</v>
      </c>
      <c r="G20" s="57">
        <v>1.169</v>
      </c>
      <c r="H20" s="58">
        <f t="shared" si="0"/>
        <v>1.45015</v>
      </c>
      <c r="I20" s="57">
        <v>41</v>
      </c>
      <c r="J20" s="57">
        <v>1.367</v>
      </c>
      <c r="K20" s="56">
        <v>1403</v>
      </c>
      <c r="L20" s="56">
        <v>631</v>
      </c>
      <c r="M20" s="57">
        <v>0</v>
      </c>
      <c r="N20" s="67">
        <v>0.15</v>
      </c>
      <c r="O20" s="67">
        <v>20</v>
      </c>
      <c r="P20" s="57">
        <v>0</v>
      </c>
      <c r="Q20" s="57">
        <v>0</v>
      </c>
      <c r="R20" s="57">
        <v>0.3803</v>
      </c>
      <c r="S20" s="57"/>
      <c r="T20" s="57"/>
      <c r="U20" s="57">
        <v>0.884</v>
      </c>
      <c r="V20" s="57"/>
      <c r="W20" s="57">
        <f t="shared" ref="W20:W83" si="4">IF(T20="",U20,T20*40%+U20*60%)</f>
        <v>0.884</v>
      </c>
      <c r="X20" s="57"/>
      <c r="Y20" s="57"/>
      <c r="Z20" s="57">
        <v>0.5936</v>
      </c>
      <c r="AA20" s="57"/>
      <c r="AB20" s="57">
        <f t="shared" si="2"/>
        <v>0.5936</v>
      </c>
      <c r="AC20" s="57">
        <v>0.515</v>
      </c>
      <c r="AD20" s="57"/>
      <c r="AE20" s="57"/>
      <c r="AF20" s="58">
        <v>0.7</v>
      </c>
      <c r="AG20" s="58">
        <f t="shared" si="3"/>
        <v>0.791855203619909</v>
      </c>
      <c r="AH20" s="58">
        <v>0.65</v>
      </c>
    </row>
    <row r="21" ht="14.25" spans="1:34">
      <c r="A21" s="57">
        <v>19</v>
      </c>
      <c r="B21" s="61" t="s">
        <v>860</v>
      </c>
      <c r="C21" s="62" t="s">
        <v>533</v>
      </c>
      <c r="D21" s="57" t="s">
        <v>872</v>
      </c>
      <c r="E21" s="57">
        <v>41</v>
      </c>
      <c r="F21" s="57">
        <v>1.365</v>
      </c>
      <c r="G21" s="57">
        <v>1.11</v>
      </c>
      <c r="H21" s="58">
        <f t="shared" si="0"/>
        <v>1.32405</v>
      </c>
      <c r="I21" s="57">
        <v>38</v>
      </c>
      <c r="J21" s="57">
        <v>1.231</v>
      </c>
      <c r="K21" s="56">
        <v>1331</v>
      </c>
      <c r="L21" s="56">
        <v>660</v>
      </c>
      <c r="M21" s="57">
        <v>0</v>
      </c>
      <c r="N21" s="67">
        <v>0.15</v>
      </c>
      <c r="O21" s="67">
        <v>20</v>
      </c>
      <c r="P21" s="57">
        <v>0</v>
      </c>
      <c r="Q21" s="57">
        <v>0</v>
      </c>
      <c r="R21" s="57">
        <v>0.3803</v>
      </c>
      <c r="S21" s="57"/>
      <c r="T21" s="57"/>
      <c r="U21" s="57">
        <v>0.884</v>
      </c>
      <c r="V21" s="57"/>
      <c r="W21" s="57">
        <f t="shared" si="4"/>
        <v>0.884</v>
      </c>
      <c r="X21" s="57"/>
      <c r="Y21" s="57"/>
      <c r="Z21" s="57">
        <v>0.5936</v>
      </c>
      <c r="AA21" s="57"/>
      <c r="AB21" s="57">
        <f t="shared" si="2"/>
        <v>0.5936</v>
      </c>
      <c r="AC21" s="57">
        <v>0.515</v>
      </c>
      <c r="AD21" s="57"/>
      <c r="AE21" s="57"/>
      <c r="AF21" s="72"/>
      <c r="AG21" s="58">
        <f t="shared" si="3"/>
        <v>0</v>
      </c>
      <c r="AH21" s="72"/>
    </row>
    <row r="22" ht="14.25" spans="1:34">
      <c r="A22" s="57">
        <v>20</v>
      </c>
      <c r="B22" s="61" t="s">
        <v>860</v>
      </c>
      <c r="C22" s="62" t="s">
        <v>533</v>
      </c>
      <c r="D22" s="57" t="s">
        <v>873</v>
      </c>
      <c r="E22" s="57">
        <v>43</v>
      </c>
      <c r="F22" s="57">
        <v>1.535</v>
      </c>
      <c r="G22" s="57">
        <v>1.183</v>
      </c>
      <c r="H22" s="58">
        <f t="shared" si="0"/>
        <v>1.48895</v>
      </c>
      <c r="I22" s="57">
        <v>42</v>
      </c>
      <c r="J22" s="57">
        <v>1.369</v>
      </c>
      <c r="K22" s="56">
        <v>1417</v>
      </c>
      <c r="L22" s="56">
        <v>611</v>
      </c>
      <c r="M22" s="57">
        <v>0</v>
      </c>
      <c r="N22" s="67">
        <v>0.15</v>
      </c>
      <c r="O22" s="67">
        <v>20</v>
      </c>
      <c r="P22" s="57">
        <v>0</v>
      </c>
      <c r="Q22" s="57">
        <v>0</v>
      </c>
      <c r="R22" s="57">
        <v>0.3803</v>
      </c>
      <c r="S22" s="57"/>
      <c r="T22" s="57"/>
      <c r="U22" s="57">
        <v>0.884</v>
      </c>
      <c r="V22" s="57"/>
      <c r="W22" s="57">
        <f t="shared" si="4"/>
        <v>0.884</v>
      </c>
      <c r="X22" s="57"/>
      <c r="Y22" s="57"/>
      <c r="Z22" s="57">
        <v>0.5936</v>
      </c>
      <c r="AA22" s="57"/>
      <c r="AB22" s="57">
        <f t="shared" si="2"/>
        <v>0.5936</v>
      </c>
      <c r="AC22" s="57">
        <v>0.515</v>
      </c>
      <c r="AD22" s="57"/>
      <c r="AE22" s="57"/>
      <c r="AF22" s="72"/>
      <c r="AG22" s="58">
        <f t="shared" si="3"/>
        <v>0</v>
      </c>
      <c r="AH22" s="72"/>
    </row>
    <row r="23" ht="14.25" spans="1:34">
      <c r="A23" s="57">
        <v>21</v>
      </c>
      <c r="B23" s="61" t="s">
        <v>860</v>
      </c>
      <c r="C23" s="62" t="s">
        <v>533</v>
      </c>
      <c r="D23" s="57" t="s">
        <v>874</v>
      </c>
      <c r="E23" s="57">
        <v>43</v>
      </c>
      <c r="F23" s="57">
        <v>1.454</v>
      </c>
      <c r="G23" s="57">
        <v>1.141</v>
      </c>
      <c r="H23" s="58">
        <f t="shared" si="0"/>
        <v>1.41038</v>
      </c>
      <c r="I23" s="57">
        <v>40</v>
      </c>
      <c r="J23" s="57">
        <v>1.336</v>
      </c>
      <c r="K23" s="56">
        <v>1371</v>
      </c>
      <c r="L23" s="56">
        <v>635</v>
      </c>
      <c r="M23" s="57">
        <v>0</v>
      </c>
      <c r="N23" s="67">
        <v>0.15</v>
      </c>
      <c r="O23" s="67">
        <v>20</v>
      </c>
      <c r="P23" s="57">
        <v>0</v>
      </c>
      <c r="Q23" s="57">
        <v>0</v>
      </c>
      <c r="R23" s="57">
        <v>0.3803</v>
      </c>
      <c r="S23" s="57"/>
      <c r="T23" s="57"/>
      <c r="U23" s="57">
        <v>0.884</v>
      </c>
      <c r="V23" s="57"/>
      <c r="W23" s="57">
        <f t="shared" si="4"/>
        <v>0.884</v>
      </c>
      <c r="X23" s="57"/>
      <c r="Y23" s="57"/>
      <c r="Z23" s="57">
        <v>0.5936</v>
      </c>
      <c r="AA23" s="57"/>
      <c r="AB23" s="57">
        <f t="shared" si="2"/>
        <v>0.5936</v>
      </c>
      <c r="AC23" s="57">
        <v>0.515</v>
      </c>
      <c r="AD23" s="57"/>
      <c r="AE23" s="57"/>
      <c r="AF23" s="72"/>
      <c r="AG23" s="58">
        <f t="shared" si="3"/>
        <v>0</v>
      </c>
      <c r="AH23" s="72"/>
    </row>
    <row r="24" ht="14.25" spans="1:34">
      <c r="A24" s="57">
        <v>22</v>
      </c>
      <c r="B24" s="61" t="s">
        <v>860</v>
      </c>
      <c r="C24" s="62" t="s">
        <v>533</v>
      </c>
      <c r="D24" s="57" t="s">
        <v>267</v>
      </c>
      <c r="E24" s="57">
        <v>43</v>
      </c>
      <c r="F24" s="57">
        <v>1.464</v>
      </c>
      <c r="G24" s="57">
        <v>1.146</v>
      </c>
      <c r="H24" s="58">
        <f t="shared" si="0"/>
        <v>1.42008</v>
      </c>
      <c r="I24" s="57">
        <v>41</v>
      </c>
      <c r="J24" s="57">
        <v>1.351</v>
      </c>
      <c r="K24" s="56">
        <v>1369</v>
      </c>
      <c r="L24" s="56">
        <v>632</v>
      </c>
      <c r="M24" s="57">
        <v>0</v>
      </c>
      <c r="N24" s="67">
        <v>0.15</v>
      </c>
      <c r="O24" s="67">
        <v>20</v>
      </c>
      <c r="P24" s="57">
        <v>0</v>
      </c>
      <c r="Q24" s="57">
        <v>0</v>
      </c>
      <c r="R24" s="57">
        <v>0.3803</v>
      </c>
      <c r="S24" s="57"/>
      <c r="T24" s="57"/>
      <c r="U24" s="57">
        <v>0.884</v>
      </c>
      <c r="V24" s="57"/>
      <c r="W24" s="57">
        <f t="shared" si="4"/>
        <v>0.884</v>
      </c>
      <c r="X24" s="57"/>
      <c r="Y24" s="57"/>
      <c r="Z24" s="57">
        <v>0.5936</v>
      </c>
      <c r="AA24" s="57"/>
      <c r="AB24" s="57">
        <f t="shared" si="2"/>
        <v>0.5936</v>
      </c>
      <c r="AC24" s="57">
        <v>0.515</v>
      </c>
      <c r="AD24" s="57"/>
      <c r="AE24" s="57"/>
      <c r="AF24" s="72"/>
      <c r="AG24" s="58">
        <f t="shared" si="3"/>
        <v>0</v>
      </c>
      <c r="AH24" s="72"/>
    </row>
    <row r="25" ht="14.25" spans="1:34">
      <c r="A25" s="57">
        <v>23</v>
      </c>
      <c r="B25" s="61" t="s">
        <v>860</v>
      </c>
      <c r="C25" s="62" t="s">
        <v>533</v>
      </c>
      <c r="D25" s="57" t="s">
        <v>875</v>
      </c>
      <c r="E25" s="57">
        <v>41</v>
      </c>
      <c r="F25" s="57">
        <v>1.464</v>
      </c>
      <c r="G25" s="57">
        <v>1.173</v>
      </c>
      <c r="H25" s="58">
        <f t="shared" si="0"/>
        <v>1.42008</v>
      </c>
      <c r="I25" s="57">
        <v>40</v>
      </c>
      <c r="J25" s="57">
        <v>1.344</v>
      </c>
      <c r="K25" s="56">
        <v>1403</v>
      </c>
      <c r="L25" s="56">
        <v>656</v>
      </c>
      <c r="M25" s="57">
        <v>0</v>
      </c>
      <c r="N25" s="67">
        <v>0.15</v>
      </c>
      <c r="O25" s="67">
        <v>20</v>
      </c>
      <c r="P25" s="57">
        <v>0</v>
      </c>
      <c r="Q25" s="57">
        <v>0</v>
      </c>
      <c r="R25" s="57">
        <v>0.3803</v>
      </c>
      <c r="S25" s="57"/>
      <c r="T25" s="57"/>
      <c r="U25" s="57">
        <v>0.884</v>
      </c>
      <c r="V25" s="57"/>
      <c r="W25" s="57">
        <f t="shared" si="4"/>
        <v>0.884</v>
      </c>
      <c r="X25" s="57"/>
      <c r="Y25" s="57"/>
      <c r="Z25" s="57">
        <v>0.5936</v>
      </c>
      <c r="AA25" s="57"/>
      <c r="AB25" s="57">
        <f t="shared" si="2"/>
        <v>0.5936</v>
      </c>
      <c r="AC25" s="57">
        <v>0.515</v>
      </c>
      <c r="AD25" s="57"/>
      <c r="AE25" s="57"/>
      <c r="AF25" s="72"/>
      <c r="AG25" s="58">
        <f t="shared" si="3"/>
        <v>0</v>
      </c>
      <c r="AH25" s="72"/>
    </row>
    <row r="26" ht="14.25" spans="1:34">
      <c r="A26" s="57">
        <v>24</v>
      </c>
      <c r="B26" s="61" t="s">
        <v>860</v>
      </c>
      <c r="C26" s="62" t="s">
        <v>533</v>
      </c>
      <c r="D26" s="57" t="s">
        <v>876</v>
      </c>
      <c r="E26" s="57">
        <v>41</v>
      </c>
      <c r="F26" s="57">
        <v>1.338</v>
      </c>
      <c r="G26" s="57">
        <v>1.11</v>
      </c>
      <c r="H26" s="58">
        <f t="shared" si="0"/>
        <v>1.29786</v>
      </c>
      <c r="I26" s="57">
        <v>40</v>
      </c>
      <c r="J26" s="57">
        <v>1.355</v>
      </c>
      <c r="K26" s="56">
        <v>1352</v>
      </c>
      <c r="L26" s="56">
        <v>641</v>
      </c>
      <c r="M26" s="57">
        <v>0</v>
      </c>
      <c r="N26" s="67">
        <v>0.15</v>
      </c>
      <c r="O26" s="67">
        <v>20</v>
      </c>
      <c r="P26" s="57">
        <v>0</v>
      </c>
      <c r="Q26" s="57">
        <v>0</v>
      </c>
      <c r="R26" s="57">
        <v>0.3803</v>
      </c>
      <c r="S26" s="57"/>
      <c r="T26" s="57"/>
      <c r="U26" s="57">
        <v>0.884</v>
      </c>
      <c r="V26" s="57"/>
      <c r="W26" s="57">
        <f t="shared" si="4"/>
        <v>0.884</v>
      </c>
      <c r="X26" s="57"/>
      <c r="Y26" s="57"/>
      <c r="Z26" s="57">
        <v>0.5936</v>
      </c>
      <c r="AA26" s="57"/>
      <c r="AB26" s="57">
        <f t="shared" si="2"/>
        <v>0.5936</v>
      </c>
      <c r="AC26" s="57">
        <v>0.515</v>
      </c>
      <c r="AD26" s="57"/>
      <c r="AE26" s="57"/>
      <c r="AF26" s="72"/>
      <c r="AG26" s="58">
        <f t="shared" si="3"/>
        <v>0</v>
      </c>
      <c r="AH26" s="72"/>
    </row>
    <row r="27" ht="14.25" spans="1:34">
      <c r="A27" s="57">
        <v>25</v>
      </c>
      <c r="B27" s="61" t="s">
        <v>860</v>
      </c>
      <c r="C27" s="62" t="s">
        <v>533</v>
      </c>
      <c r="D27" s="57" t="s">
        <v>877</v>
      </c>
      <c r="E27" s="57">
        <v>40</v>
      </c>
      <c r="F27" s="57">
        <v>1.395</v>
      </c>
      <c r="G27" s="57">
        <v>1.135</v>
      </c>
      <c r="H27" s="58">
        <f t="shared" si="0"/>
        <v>1.35315</v>
      </c>
      <c r="I27" s="57">
        <v>37</v>
      </c>
      <c r="J27" s="57">
        <v>1.283</v>
      </c>
      <c r="K27" s="56">
        <v>1348</v>
      </c>
      <c r="L27" s="56">
        <v>642</v>
      </c>
      <c r="M27" s="57">
        <v>0</v>
      </c>
      <c r="N27" s="67">
        <v>0.15</v>
      </c>
      <c r="O27" s="67">
        <v>20</v>
      </c>
      <c r="P27" s="57">
        <v>0</v>
      </c>
      <c r="Q27" s="57">
        <v>0</v>
      </c>
      <c r="R27" s="57">
        <v>0.3803</v>
      </c>
      <c r="S27" s="57"/>
      <c r="T27" s="57"/>
      <c r="U27" s="57">
        <v>0.884</v>
      </c>
      <c r="V27" s="57"/>
      <c r="W27" s="57">
        <f t="shared" si="4"/>
        <v>0.884</v>
      </c>
      <c r="X27" s="57"/>
      <c r="Y27" s="57"/>
      <c r="Z27" s="57">
        <v>0.5936</v>
      </c>
      <c r="AA27" s="57"/>
      <c r="AB27" s="57">
        <f t="shared" si="2"/>
        <v>0.5936</v>
      </c>
      <c r="AC27" s="57">
        <v>0.515</v>
      </c>
      <c r="AD27" s="57"/>
      <c r="AE27" s="57"/>
      <c r="AF27" s="72"/>
      <c r="AG27" s="58">
        <f t="shared" si="3"/>
        <v>0</v>
      </c>
      <c r="AH27" s="72"/>
    </row>
    <row r="28" ht="14.25" spans="1:34">
      <c r="A28" s="57">
        <v>26</v>
      </c>
      <c r="B28" s="61" t="s">
        <v>860</v>
      </c>
      <c r="C28" s="62" t="s">
        <v>533</v>
      </c>
      <c r="D28" s="57" t="s">
        <v>878</v>
      </c>
      <c r="E28" s="57">
        <v>39</v>
      </c>
      <c r="F28" s="57">
        <v>1.359</v>
      </c>
      <c r="G28" s="57">
        <v>1.11</v>
      </c>
      <c r="H28" s="58">
        <f t="shared" si="0"/>
        <v>1.31823</v>
      </c>
      <c r="I28" s="57">
        <v>37</v>
      </c>
      <c r="J28" s="57">
        <v>1.244</v>
      </c>
      <c r="K28" s="56">
        <v>1322</v>
      </c>
      <c r="L28" s="56">
        <v>648</v>
      </c>
      <c r="M28" s="57">
        <v>0</v>
      </c>
      <c r="N28" s="67">
        <v>0.15</v>
      </c>
      <c r="O28" s="67">
        <v>20</v>
      </c>
      <c r="P28" s="57">
        <v>0</v>
      </c>
      <c r="Q28" s="57">
        <v>0</v>
      </c>
      <c r="R28" s="57">
        <v>0.3803</v>
      </c>
      <c r="S28" s="57"/>
      <c r="T28" s="57"/>
      <c r="U28" s="57">
        <v>0.884</v>
      </c>
      <c r="V28" s="57"/>
      <c r="W28" s="57">
        <f t="shared" si="4"/>
        <v>0.884</v>
      </c>
      <c r="X28" s="57"/>
      <c r="Y28" s="57"/>
      <c r="Z28" s="57">
        <v>0.5936</v>
      </c>
      <c r="AA28" s="57"/>
      <c r="AB28" s="57">
        <f t="shared" si="2"/>
        <v>0.5936</v>
      </c>
      <c r="AC28" s="57">
        <v>0.515</v>
      </c>
      <c r="AD28" s="57"/>
      <c r="AE28" s="57"/>
      <c r="AF28" s="72"/>
      <c r="AG28" s="58">
        <f t="shared" si="3"/>
        <v>0</v>
      </c>
      <c r="AH28" s="72"/>
    </row>
    <row r="29" ht="14.25" spans="1:34">
      <c r="A29" s="52">
        <v>27</v>
      </c>
      <c r="B29" s="61" t="s">
        <v>860</v>
      </c>
      <c r="C29" s="62" t="s">
        <v>879</v>
      </c>
      <c r="D29" s="63" t="s">
        <v>568</v>
      </c>
      <c r="E29" s="57">
        <v>39</v>
      </c>
      <c r="F29" s="63">
        <v>1.324</v>
      </c>
      <c r="G29" s="57">
        <v>1.097</v>
      </c>
      <c r="H29" s="58">
        <f t="shared" si="0"/>
        <v>1.28428</v>
      </c>
      <c r="I29" s="52">
        <v>36</v>
      </c>
      <c r="J29" s="52">
        <v>1.264</v>
      </c>
      <c r="K29" s="56">
        <v>1322</v>
      </c>
      <c r="L29" s="56">
        <v>691</v>
      </c>
      <c r="M29" s="57">
        <v>0</v>
      </c>
      <c r="N29" s="57">
        <v>0</v>
      </c>
      <c r="O29" s="57">
        <v>0</v>
      </c>
      <c r="P29" s="57">
        <v>0</v>
      </c>
      <c r="Q29" s="57">
        <v>0</v>
      </c>
      <c r="R29" s="57">
        <v>0.3863</v>
      </c>
      <c r="S29" s="57"/>
      <c r="T29" s="57"/>
      <c r="U29" s="57">
        <v>0.832</v>
      </c>
      <c r="V29" s="57"/>
      <c r="W29" s="57">
        <f t="shared" si="4"/>
        <v>0.832</v>
      </c>
      <c r="X29" s="57"/>
      <c r="Y29" s="57"/>
      <c r="Z29" s="57">
        <v>0.5456</v>
      </c>
      <c r="AA29" s="57"/>
      <c r="AB29" s="57">
        <f t="shared" si="2"/>
        <v>0.5456</v>
      </c>
      <c r="AC29" s="57">
        <v>0.49</v>
      </c>
      <c r="AD29" s="57"/>
      <c r="AE29" s="57"/>
      <c r="AF29" s="58">
        <v>0.7</v>
      </c>
      <c r="AG29" s="58">
        <f t="shared" si="3"/>
        <v>0.841346153846154</v>
      </c>
      <c r="AH29" s="58">
        <v>0.68</v>
      </c>
    </row>
    <row r="30" ht="14.25" spans="1:34">
      <c r="A30" s="52">
        <v>28</v>
      </c>
      <c r="B30" s="61" t="s">
        <v>860</v>
      </c>
      <c r="C30" s="62" t="s">
        <v>879</v>
      </c>
      <c r="D30" s="52" t="s">
        <v>567</v>
      </c>
      <c r="E30" s="57">
        <v>41</v>
      </c>
      <c r="F30" s="52">
        <v>1.537</v>
      </c>
      <c r="G30" s="57">
        <v>1.228</v>
      </c>
      <c r="H30" s="58">
        <f t="shared" si="0"/>
        <v>1.49089</v>
      </c>
      <c r="I30" s="52">
        <v>37</v>
      </c>
      <c r="J30" s="52">
        <v>1.378</v>
      </c>
      <c r="K30" s="56">
        <v>1480</v>
      </c>
      <c r="L30" s="56">
        <v>651</v>
      </c>
      <c r="M30" s="57">
        <v>0</v>
      </c>
      <c r="N30" s="57">
        <v>0</v>
      </c>
      <c r="O30" s="57">
        <v>0</v>
      </c>
      <c r="P30" s="57">
        <v>0</v>
      </c>
      <c r="Q30" s="57">
        <v>0</v>
      </c>
      <c r="R30" s="57">
        <v>0.3863</v>
      </c>
      <c r="S30" s="57"/>
      <c r="T30" s="57"/>
      <c r="U30" s="57">
        <v>0.832</v>
      </c>
      <c r="V30" s="57"/>
      <c r="W30" s="57">
        <f t="shared" si="4"/>
        <v>0.832</v>
      </c>
      <c r="X30" s="57"/>
      <c r="Y30" s="57"/>
      <c r="Z30" s="57">
        <v>0.5456</v>
      </c>
      <c r="AA30" s="57"/>
      <c r="AB30" s="57">
        <f t="shared" si="2"/>
        <v>0.5456</v>
      </c>
      <c r="AC30" s="57">
        <v>0.49</v>
      </c>
      <c r="AD30" s="57"/>
      <c r="AE30" s="57"/>
      <c r="AF30" s="73"/>
      <c r="AG30" s="58">
        <f t="shared" si="3"/>
        <v>0</v>
      </c>
      <c r="AH30" s="73"/>
    </row>
    <row r="31" ht="14.25" spans="1:34">
      <c r="A31" s="52">
        <v>29</v>
      </c>
      <c r="B31" s="61" t="s">
        <v>860</v>
      </c>
      <c r="C31" s="62" t="s">
        <v>879</v>
      </c>
      <c r="D31" s="64" t="s">
        <v>880</v>
      </c>
      <c r="E31" s="57">
        <v>41</v>
      </c>
      <c r="F31" s="52">
        <v>1.483</v>
      </c>
      <c r="G31" s="57">
        <v>1.191</v>
      </c>
      <c r="H31" s="58">
        <f t="shared" si="0"/>
        <v>1.43851</v>
      </c>
      <c r="I31" s="52">
        <v>38</v>
      </c>
      <c r="J31" s="52">
        <v>1.338</v>
      </c>
      <c r="K31" s="56">
        <v>1433</v>
      </c>
      <c r="L31" s="56">
        <v>694</v>
      </c>
      <c r="M31" s="57">
        <v>0</v>
      </c>
      <c r="N31" s="57">
        <v>0</v>
      </c>
      <c r="O31" s="57">
        <v>0</v>
      </c>
      <c r="P31" s="57">
        <v>0</v>
      </c>
      <c r="Q31" s="57">
        <v>0</v>
      </c>
      <c r="R31" s="57">
        <v>0.3863</v>
      </c>
      <c r="S31" s="57"/>
      <c r="T31" s="57"/>
      <c r="U31" s="57">
        <v>0.832</v>
      </c>
      <c r="V31" s="57"/>
      <c r="W31" s="57">
        <f t="shared" si="4"/>
        <v>0.832</v>
      </c>
      <c r="X31" s="57"/>
      <c r="Y31" s="57"/>
      <c r="Z31" s="57">
        <v>0.5456</v>
      </c>
      <c r="AA31" s="57"/>
      <c r="AB31" s="57">
        <f t="shared" si="2"/>
        <v>0.5456</v>
      </c>
      <c r="AC31" s="57">
        <v>0.49</v>
      </c>
      <c r="AD31" s="57"/>
      <c r="AE31" s="57"/>
      <c r="AF31" s="73"/>
      <c r="AG31" s="58">
        <f t="shared" si="3"/>
        <v>0</v>
      </c>
      <c r="AH31" s="73"/>
    </row>
    <row r="32" ht="14.25" spans="1:34">
      <c r="A32" s="52">
        <v>30</v>
      </c>
      <c r="B32" s="61" t="s">
        <v>860</v>
      </c>
      <c r="C32" s="62" t="s">
        <v>879</v>
      </c>
      <c r="D32" s="64" t="s">
        <v>881</v>
      </c>
      <c r="E32" s="57">
        <v>39</v>
      </c>
      <c r="F32" s="52">
        <v>1.33</v>
      </c>
      <c r="G32" s="57">
        <v>1.087</v>
      </c>
      <c r="H32" s="58">
        <f t="shared" si="0"/>
        <v>1.2901</v>
      </c>
      <c r="I32" s="52">
        <v>37</v>
      </c>
      <c r="J32" s="52">
        <v>1.269</v>
      </c>
      <c r="K32" s="56">
        <v>1314</v>
      </c>
      <c r="L32" s="56">
        <v>673</v>
      </c>
      <c r="M32" s="57">
        <v>0</v>
      </c>
      <c r="N32" s="57">
        <v>0</v>
      </c>
      <c r="O32" s="57">
        <v>0</v>
      </c>
      <c r="P32" s="57">
        <v>0</v>
      </c>
      <c r="Q32" s="57">
        <v>0</v>
      </c>
      <c r="R32" s="57">
        <v>0.3863</v>
      </c>
      <c r="S32" s="57"/>
      <c r="T32" s="57"/>
      <c r="U32" s="57">
        <v>0.832</v>
      </c>
      <c r="V32" s="57"/>
      <c r="W32" s="57">
        <f t="shared" si="4"/>
        <v>0.832</v>
      </c>
      <c r="X32" s="57"/>
      <c r="Y32" s="57"/>
      <c r="Z32" s="57">
        <v>0.5456</v>
      </c>
      <c r="AA32" s="57"/>
      <c r="AB32" s="57">
        <f t="shared" si="2"/>
        <v>0.5456</v>
      </c>
      <c r="AC32" s="57">
        <v>0.49</v>
      </c>
      <c r="AD32" s="57"/>
      <c r="AE32" s="57"/>
      <c r="AF32" s="73"/>
      <c r="AG32" s="58">
        <f t="shared" si="3"/>
        <v>0</v>
      </c>
      <c r="AH32" s="73"/>
    </row>
    <row r="33" ht="14.25" spans="1:34">
      <c r="A33" s="52">
        <v>31</v>
      </c>
      <c r="B33" s="61" t="s">
        <v>860</v>
      </c>
      <c r="C33" s="62" t="s">
        <v>879</v>
      </c>
      <c r="D33" s="64" t="s">
        <v>882</v>
      </c>
      <c r="E33" s="57">
        <v>39</v>
      </c>
      <c r="F33" s="52">
        <v>1.312</v>
      </c>
      <c r="G33" s="57">
        <v>1.092</v>
      </c>
      <c r="H33" s="58">
        <f t="shared" si="0"/>
        <v>1.27264</v>
      </c>
      <c r="I33" s="52">
        <v>37</v>
      </c>
      <c r="J33" s="52">
        <v>1.274</v>
      </c>
      <c r="K33" s="56">
        <v>1322</v>
      </c>
      <c r="L33" s="56">
        <v>711</v>
      </c>
      <c r="M33" s="57">
        <v>0</v>
      </c>
      <c r="N33" s="57">
        <v>0</v>
      </c>
      <c r="O33" s="57">
        <v>0</v>
      </c>
      <c r="P33" s="57">
        <v>0</v>
      </c>
      <c r="Q33" s="57">
        <v>0</v>
      </c>
      <c r="R33" s="57">
        <v>0.3863</v>
      </c>
      <c r="S33" s="57"/>
      <c r="T33" s="57"/>
      <c r="U33" s="57">
        <v>0.832</v>
      </c>
      <c r="V33" s="57"/>
      <c r="W33" s="57">
        <f t="shared" si="4"/>
        <v>0.832</v>
      </c>
      <c r="X33" s="57"/>
      <c r="Y33" s="57"/>
      <c r="Z33" s="57">
        <v>0.5456</v>
      </c>
      <c r="AA33" s="57"/>
      <c r="AB33" s="57">
        <f t="shared" si="2"/>
        <v>0.5456</v>
      </c>
      <c r="AC33" s="57">
        <v>0.49</v>
      </c>
      <c r="AD33" s="57"/>
      <c r="AE33" s="57"/>
      <c r="AF33" s="73"/>
      <c r="AG33" s="58">
        <f t="shared" si="3"/>
        <v>0</v>
      </c>
      <c r="AH33" s="73"/>
    </row>
    <row r="34" ht="14.25" spans="1:34">
      <c r="A34" s="52">
        <v>32</v>
      </c>
      <c r="B34" s="61" t="s">
        <v>860</v>
      </c>
      <c r="C34" s="62" t="s">
        <v>879</v>
      </c>
      <c r="D34" s="64" t="s">
        <v>883</v>
      </c>
      <c r="E34" s="57">
        <v>38</v>
      </c>
      <c r="F34" s="52">
        <v>1.337</v>
      </c>
      <c r="G34" s="57">
        <v>1.107</v>
      </c>
      <c r="H34" s="58">
        <f t="shared" si="0"/>
        <v>1.29689</v>
      </c>
      <c r="I34" s="52">
        <v>36</v>
      </c>
      <c r="J34" s="52">
        <v>1.271</v>
      </c>
      <c r="K34" s="56">
        <v>1336</v>
      </c>
      <c r="L34" s="56">
        <v>689</v>
      </c>
      <c r="M34" s="57">
        <v>0</v>
      </c>
      <c r="N34" s="57">
        <v>0</v>
      </c>
      <c r="O34" s="57">
        <v>0</v>
      </c>
      <c r="P34" s="57">
        <v>0</v>
      </c>
      <c r="Q34" s="57">
        <v>0</v>
      </c>
      <c r="R34" s="57">
        <v>0.3863</v>
      </c>
      <c r="S34" s="57"/>
      <c r="T34" s="57"/>
      <c r="U34" s="57">
        <v>0.832</v>
      </c>
      <c r="V34" s="57"/>
      <c r="W34" s="57">
        <f t="shared" si="4"/>
        <v>0.832</v>
      </c>
      <c r="X34" s="57"/>
      <c r="Y34" s="57"/>
      <c r="Z34" s="57">
        <v>0.5456</v>
      </c>
      <c r="AA34" s="57"/>
      <c r="AB34" s="57">
        <f t="shared" si="2"/>
        <v>0.5456</v>
      </c>
      <c r="AC34" s="57">
        <v>0.49</v>
      </c>
      <c r="AD34" s="57"/>
      <c r="AE34" s="57"/>
      <c r="AF34" s="73"/>
      <c r="AG34" s="58">
        <f t="shared" si="3"/>
        <v>0</v>
      </c>
      <c r="AH34" s="73"/>
    </row>
    <row r="35" ht="14.25" spans="1:34">
      <c r="A35" s="52">
        <v>33</v>
      </c>
      <c r="B35" s="61" t="s">
        <v>860</v>
      </c>
      <c r="C35" s="62" t="s">
        <v>879</v>
      </c>
      <c r="D35" s="64" t="s">
        <v>884</v>
      </c>
      <c r="E35" s="57">
        <v>39</v>
      </c>
      <c r="F35" s="52">
        <v>1.407</v>
      </c>
      <c r="G35" s="57">
        <v>1.127</v>
      </c>
      <c r="H35" s="58">
        <f t="shared" si="0"/>
        <v>1.36479</v>
      </c>
      <c r="I35" s="52">
        <v>36</v>
      </c>
      <c r="J35" s="52">
        <v>1.272</v>
      </c>
      <c r="K35" s="56">
        <v>1335</v>
      </c>
      <c r="L35" s="56">
        <v>682</v>
      </c>
      <c r="M35" s="57">
        <v>0</v>
      </c>
      <c r="N35" s="57">
        <v>0</v>
      </c>
      <c r="O35" s="57">
        <v>0</v>
      </c>
      <c r="P35" s="57">
        <v>0</v>
      </c>
      <c r="Q35" s="57">
        <v>0</v>
      </c>
      <c r="R35" s="57">
        <v>0.3863</v>
      </c>
      <c r="S35" s="57"/>
      <c r="T35" s="57"/>
      <c r="U35" s="57">
        <v>0.832</v>
      </c>
      <c r="V35" s="57"/>
      <c r="W35" s="57">
        <f t="shared" si="4"/>
        <v>0.832</v>
      </c>
      <c r="X35" s="57"/>
      <c r="Y35" s="57"/>
      <c r="Z35" s="57">
        <v>0.5456</v>
      </c>
      <c r="AA35" s="57"/>
      <c r="AB35" s="57">
        <f t="shared" si="2"/>
        <v>0.5456</v>
      </c>
      <c r="AC35" s="57">
        <v>0.49</v>
      </c>
      <c r="AD35" s="57"/>
      <c r="AE35" s="57"/>
      <c r="AF35" s="73"/>
      <c r="AG35" s="58">
        <f t="shared" si="3"/>
        <v>0</v>
      </c>
      <c r="AH35" s="73"/>
    </row>
    <row r="36" ht="14.25" spans="1:34">
      <c r="A36" s="52">
        <v>34</v>
      </c>
      <c r="B36" s="61" t="s">
        <v>860</v>
      </c>
      <c r="C36" s="62" t="s">
        <v>879</v>
      </c>
      <c r="D36" s="64" t="s">
        <v>885</v>
      </c>
      <c r="E36" s="57">
        <v>37</v>
      </c>
      <c r="F36" s="52">
        <v>1.326</v>
      </c>
      <c r="G36" s="57">
        <v>1.11</v>
      </c>
      <c r="H36" s="58">
        <f t="shared" si="0"/>
        <v>1.28622</v>
      </c>
      <c r="I36" s="52">
        <v>35</v>
      </c>
      <c r="J36" s="52">
        <v>1.262</v>
      </c>
      <c r="K36" s="56">
        <v>1342</v>
      </c>
      <c r="L36" s="56">
        <v>711</v>
      </c>
      <c r="M36" s="57">
        <v>0</v>
      </c>
      <c r="N36" s="57">
        <v>0</v>
      </c>
      <c r="O36" s="57">
        <v>0</v>
      </c>
      <c r="P36" s="57">
        <v>0</v>
      </c>
      <c r="Q36" s="57">
        <v>0</v>
      </c>
      <c r="R36" s="57">
        <v>0.3863</v>
      </c>
      <c r="S36" s="57"/>
      <c r="T36" s="57"/>
      <c r="U36" s="57">
        <v>0.832</v>
      </c>
      <c r="V36" s="57"/>
      <c r="W36" s="57">
        <f t="shared" si="4"/>
        <v>0.832</v>
      </c>
      <c r="X36" s="57"/>
      <c r="Y36" s="57"/>
      <c r="Z36" s="57">
        <v>0.5456</v>
      </c>
      <c r="AA36" s="57"/>
      <c r="AB36" s="57">
        <f t="shared" si="2"/>
        <v>0.5456</v>
      </c>
      <c r="AC36" s="57">
        <v>0.49</v>
      </c>
      <c r="AD36" s="57"/>
      <c r="AE36" s="57"/>
      <c r="AF36" s="73"/>
      <c r="AG36" s="58">
        <f t="shared" si="3"/>
        <v>0</v>
      </c>
      <c r="AH36" s="73"/>
    </row>
    <row r="37" ht="14.25" spans="1:34">
      <c r="A37" s="52">
        <v>35</v>
      </c>
      <c r="B37" s="61" t="s">
        <v>860</v>
      </c>
      <c r="C37" s="62" t="s">
        <v>879</v>
      </c>
      <c r="D37" s="64" t="s">
        <v>886</v>
      </c>
      <c r="E37" s="57">
        <v>38</v>
      </c>
      <c r="F37" s="52">
        <v>1.358</v>
      </c>
      <c r="G37" s="57">
        <v>1.127</v>
      </c>
      <c r="H37" s="58">
        <f t="shared" si="0"/>
        <v>1.31726</v>
      </c>
      <c r="I37" s="52">
        <v>36</v>
      </c>
      <c r="J37" s="52">
        <v>1.273</v>
      </c>
      <c r="K37" s="56">
        <v>1362</v>
      </c>
      <c r="L37" s="56">
        <v>681</v>
      </c>
      <c r="M37" s="57">
        <v>0</v>
      </c>
      <c r="N37" s="57">
        <v>0</v>
      </c>
      <c r="O37" s="57">
        <v>0</v>
      </c>
      <c r="P37" s="57">
        <v>0</v>
      </c>
      <c r="Q37" s="57">
        <v>0</v>
      </c>
      <c r="R37" s="57">
        <v>0.3863</v>
      </c>
      <c r="S37" s="57"/>
      <c r="T37" s="57"/>
      <c r="U37" s="57">
        <v>0.832</v>
      </c>
      <c r="V37" s="57"/>
      <c r="W37" s="57">
        <f t="shared" si="4"/>
        <v>0.832</v>
      </c>
      <c r="X37" s="57"/>
      <c r="Y37" s="57"/>
      <c r="Z37" s="57">
        <v>0.5456</v>
      </c>
      <c r="AA37" s="57"/>
      <c r="AB37" s="57">
        <f t="shared" si="2"/>
        <v>0.5456</v>
      </c>
      <c r="AC37" s="57">
        <v>0.49</v>
      </c>
      <c r="AD37" s="57"/>
      <c r="AE37" s="57"/>
      <c r="AF37" s="73"/>
      <c r="AG37" s="58">
        <f t="shared" si="3"/>
        <v>0</v>
      </c>
      <c r="AH37" s="73"/>
    </row>
    <row r="38" ht="14.25" spans="1:34">
      <c r="A38" s="52">
        <v>36</v>
      </c>
      <c r="B38" s="61" t="s">
        <v>860</v>
      </c>
      <c r="C38" s="62" t="s">
        <v>879</v>
      </c>
      <c r="D38" s="64" t="s">
        <v>570</v>
      </c>
      <c r="E38" s="57">
        <v>36</v>
      </c>
      <c r="F38" s="52">
        <v>1.424</v>
      </c>
      <c r="G38" s="57">
        <v>1.206</v>
      </c>
      <c r="H38" s="58">
        <f t="shared" si="0"/>
        <v>1.38128</v>
      </c>
      <c r="I38" s="52">
        <v>32</v>
      </c>
      <c r="J38" s="52">
        <v>1.241</v>
      </c>
      <c r="K38" s="56">
        <v>1450</v>
      </c>
      <c r="L38" s="56">
        <v>770</v>
      </c>
      <c r="M38" s="57">
        <v>0</v>
      </c>
      <c r="N38" s="57">
        <v>0</v>
      </c>
      <c r="O38" s="57">
        <v>0</v>
      </c>
      <c r="P38" s="57">
        <v>0</v>
      </c>
      <c r="Q38" s="57">
        <v>0</v>
      </c>
      <c r="R38" s="57">
        <v>0.3863</v>
      </c>
      <c r="S38" s="57"/>
      <c r="T38" s="57"/>
      <c r="U38" s="57">
        <v>0.832</v>
      </c>
      <c r="V38" s="57"/>
      <c r="W38" s="57">
        <f t="shared" si="4"/>
        <v>0.832</v>
      </c>
      <c r="X38" s="57"/>
      <c r="Y38" s="57"/>
      <c r="Z38" s="57">
        <v>0.5456</v>
      </c>
      <c r="AA38" s="57"/>
      <c r="AB38" s="57">
        <f t="shared" si="2"/>
        <v>0.5456</v>
      </c>
      <c r="AC38" s="57">
        <v>0.49</v>
      </c>
      <c r="AD38" s="57"/>
      <c r="AE38" s="57"/>
      <c r="AF38" s="73"/>
      <c r="AG38" s="58">
        <f t="shared" si="3"/>
        <v>0</v>
      </c>
      <c r="AH38" s="73"/>
    </row>
    <row r="39" ht="14.25" spans="1:34">
      <c r="A39" s="52">
        <v>37</v>
      </c>
      <c r="B39" s="61" t="s">
        <v>860</v>
      </c>
      <c r="C39" s="62" t="s">
        <v>879</v>
      </c>
      <c r="D39" s="64" t="s">
        <v>887</v>
      </c>
      <c r="E39" s="57">
        <v>38</v>
      </c>
      <c r="F39" s="52">
        <v>1.358</v>
      </c>
      <c r="G39" s="57">
        <v>1.134</v>
      </c>
      <c r="H39" s="58">
        <f t="shared" si="0"/>
        <v>1.31726</v>
      </c>
      <c r="I39" s="52">
        <v>35</v>
      </c>
      <c r="J39" s="52">
        <v>1.269</v>
      </c>
      <c r="K39" s="56">
        <v>1367</v>
      </c>
      <c r="L39" s="56">
        <v>731</v>
      </c>
      <c r="M39" s="57">
        <v>0</v>
      </c>
      <c r="N39" s="57">
        <v>0</v>
      </c>
      <c r="O39" s="57">
        <v>0</v>
      </c>
      <c r="P39" s="57">
        <v>0</v>
      </c>
      <c r="Q39" s="57">
        <v>0</v>
      </c>
      <c r="R39" s="57">
        <v>0.3863</v>
      </c>
      <c r="S39" s="57"/>
      <c r="T39" s="57"/>
      <c r="U39" s="57">
        <v>0.832</v>
      </c>
      <c r="V39" s="57"/>
      <c r="W39" s="57">
        <f t="shared" si="4"/>
        <v>0.832</v>
      </c>
      <c r="X39" s="57"/>
      <c r="Y39" s="57"/>
      <c r="Z39" s="57">
        <v>0.5456</v>
      </c>
      <c r="AA39" s="57"/>
      <c r="AB39" s="57">
        <f t="shared" si="2"/>
        <v>0.5456</v>
      </c>
      <c r="AC39" s="57">
        <v>0.49</v>
      </c>
      <c r="AD39" s="57"/>
      <c r="AE39" s="57"/>
      <c r="AF39" s="73"/>
      <c r="AG39" s="58">
        <f t="shared" si="3"/>
        <v>0</v>
      </c>
      <c r="AH39" s="73"/>
    </row>
    <row r="40" ht="14.25" spans="1:34">
      <c r="A40" s="52">
        <v>38</v>
      </c>
      <c r="B40" s="61" t="s">
        <v>860</v>
      </c>
      <c r="C40" s="62" t="s">
        <v>879</v>
      </c>
      <c r="D40" s="64" t="s">
        <v>888</v>
      </c>
      <c r="E40" s="57">
        <v>39</v>
      </c>
      <c r="F40" s="52">
        <v>1.331</v>
      </c>
      <c r="G40" s="57">
        <v>1.104</v>
      </c>
      <c r="H40" s="58">
        <f t="shared" si="0"/>
        <v>1.29107</v>
      </c>
      <c r="I40" s="52">
        <v>36</v>
      </c>
      <c r="J40" s="52">
        <v>1.258</v>
      </c>
      <c r="K40" s="56">
        <v>1332</v>
      </c>
      <c r="L40" s="56">
        <v>712</v>
      </c>
      <c r="M40" s="57">
        <v>0</v>
      </c>
      <c r="N40" s="57">
        <v>0</v>
      </c>
      <c r="O40" s="57">
        <v>0</v>
      </c>
      <c r="P40" s="57">
        <v>0</v>
      </c>
      <c r="Q40" s="57">
        <v>0</v>
      </c>
      <c r="R40" s="57">
        <v>0.3863</v>
      </c>
      <c r="S40" s="57"/>
      <c r="T40" s="57"/>
      <c r="U40" s="57">
        <v>0.832</v>
      </c>
      <c r="V40" s="57"/>
      <c r="W40" s="57">
        <f t="shared" si="4"/>
        <v>0.832</v>
      </c>
      <c r="X40" s="57"/>
      <c r="Y40" s="57"/>
      <c r="Z40" s="57">
        <v>0.5456</v>
      </c>
      <c r="AA40" s="57"/>
      <c r="AB40" s="57">
        <f t="shared" si="2"/>
        <v>0.5456</v>
      </c>
      <c r="AC40" s="57">
        <v>0.49</v>
      </c>
      <c r="AD40" s="57"/>
      <c r="AE40" s="57"/>
      <c r="AF40" s="73"/>
      <c r="AG40" s="58">
        <f t="shared" si="3"/>
        <v>0</v>
      </c>
      <c r="AH40" s="73"/>
    </row>
    <row r="41" ht="14.25" spans="1:34">
      <c r="A41" s="52">
        <v>39</v>
      </c>
      <c r="B41" s="61" t="s">
        <v>860</v>
      </c>
      <c r="C41" s="62" t="s">
        <v>879</v>
      </c>
      <c r="D41" s="64" t="s">
        <v>889</v>
      </c>
      <c r="E41" s="57">
        <v>39</v>
      </c>
      <c r="F41" s="52">
        <v>1.49</v>
      </c>
      <c r="G41" s="57">
        <v>1.22</v>
      </c>
      <c r="H41" s="58">
        <f t="shared" si="0"/>
        <v>1.4453</v>
      </c>
      <c r="I41" s="52">
        <v>37</v>
      </c>
      <c r="J41" s="68">
        <v>1.358</v>
      </c>
      <c r="K41" s="59">
        <v>1478</v>
      </c>
      <c r="L41" s="56">
        <v>702</v>
      </c>
      <c r="M41" s="57">
        <v>0</v>
      </c>
      <c r="N41" s="57">
        <v>0</v>
      </c>
      <c r="O41" s="57">
        <v>0</v>
      </c>
      <c r="P41" s="57">
        <v>0</v>
      </c>
      <c r="Q41" s="57">
        <v>0</v>
      </c>
      <c r="R41" s="57">
        <v>0.3863</v>
      </c>
      <c r="S41" s="57"/>
      <c r="T41" s="57"/>
      <c r="U41" s="57">
        <v>0.832</v>
      </c>
      <c r="V41" s="57"/>
      <c r="W41" s="57">
        <f t="shared" si="4"/>
        <v>0.832</v>
      </c>
      <c r="X41" s="57"/>
      <c r="Y41" s="57"/>
      <c r="Z41" s="57">
        <v>0.5456</v>
      </c>
      <c r="AA41" s="57"/>
      <c r="AB41" s="57">
        <f t="shared" si="2"/>
        <v>0.5456</v>
      </c>
      <c r="AC41" s="57">
        <v>0.49</v>
      </c>
      <c r="AD41" s="57"/>
      <c r="AE41" s="57"/>
      <c r="AF41" s="73"/>
      <c r="AG41" s="58">
        <f t="shared" si="3"/>
        <v>0</v>
      </c>
      <c r="AH41" s="73"/>
    </row>
    <row r="42" ht="14.25" spans="1:34">
      <c r="A42" s="52">
        <v>40</v>
      </c>
      <c r="B42" s="61" t="s">
        <v>860</v>
      </c>
      <c r="C42" s="62" t="s">
        <v>879</v>
      </c>
      <c r="D42" s="64" t="s">
        <v>890</v>
      </c>
      <c r="E42" s="57">
        <v>38</v>
      </c>
      <c r="F42" s="52">
        <v>1.447</v>
      </c>
      <c r="G42" s="57">
        <v>1.194</v>
      </c>
      <c r="H42" s="58">
        <f t="shared" si="0"/>
        <v>1.40359</v>
      </c>
      <c r="I42" s="52">
        <v>36</v>
      </c>
      <c r="J42" s="52">
        <v>1.344</v>
      </c>
      <c r="K42" s="56">
        <v>1431</v>
      </c>
      <c r="L42" s="56">
        <v>714</v>
      </c>
      <c r="M42" s="57">
        <v>0</v>
      </c>
      <c r="N42" s="57">
        <v>0</v>
      </c>
      <c r="O42" s="57">
        <v>0</v>
      </c>
      <c r="P42" s="57">
        <v>0</v>
      </c>
      <c r="Q42" s="57">
        <v>0</v>
      </c>
      <c r="R42" s="57">
        <v>0.3863</v>
      </c>
      <c r="S42" s="57"/>
      <c r="T42" s="57"/>
      <c r="U42" s="57">
        <v>0.832</v>
      </c>
      <c r="V42" s="57"/>
      <c r="W42" s="57">
        <f t="shared" si="4"/>
        <v>0.832</v>
      </c>
      <c r="X42" s="57"/>
      <c r="Y42" s="57"/>
      <c r="Z42" s="57">
        <v>0.5456</v>
      </c>
      <c r="AA42" s="57"/>
      <c r="AB42" s="57">
        <f t="shared" si="2"/>
        <v>0.5456</v>
      </c>
      <c r="AC42" s="57">
        <v>0.49</v>
      </c>
      <c r="AD42" s="57"/>
      <c r="AE42" s="57"/>
      <c r="AF42" s="73"/>
      <c r="AG42" s="58">
        <f t="shared" si="3"/>
        <v>0</v>
      </c>
      <c r="AH42" s="73"/>
    </row>
    <row r="43" ht="14.25" spans="1:34">
      <c r="A43" s="52">
        <v>41</v>
      </c>
      <c r="B43" s="61" t="s">
        <v>891</v>
      </c>
      <c r="C43" s="62" t="s">
        <v>892</v>
      </c>
      <c r="D43" s="65" t="s">
        <v>893</v>
      </c>
      <c r="E43" s="57">
        <v>33</v>
      </c>
      <c r="F43" s="63">
        <f>1.243</f>
        <v>1.243</v>
      </c>
      <c r="G43" s="57">
        <v>1.071</v>
      </c>
      <c r="H43" s="58">
        <f t="shared" si="0"/>
        <v>1.20571</v>
      </c>
      <c r="I43" s="52">
        <v>37</v>
      </c>
      <c r="J43" s="68">
        <v>1.453</v>
      </c>
      <c r="K43" s="56">
        <v>1341</v>
      </c>
      <c r="L43" s="56">
        <v>797</v>
      </c>
      <c r="M43" s="57">
        <v>0</v>
      </c>
      <c r="N43" s="57">
        <v>0</v>
      </c>
      <c r="O43" s="57">
        <v>0</v>
      </c>
      <c r="P43" s="57">
        <v>0</v>
      </c>
      <c r="Q43" s="57">
        <v>0</v>
      </c>
      <c r="R43" s="57">
        <v>0.3914</v>
      </c>
      <c r="S43" s="57">
        <v>1.1492</v>
      </c>
      <c r="T43" s="57">
        <v>1.0101</v>
      </c>
      <c r="U43" s="57">
        <v>0.7321</v>
      </c>
      <c r="V43" s="57">
        <v>0.4541</v>
      </c>
      <c r="W43" s="57">
        <f t="shared" si="4"/>
        <v>0.8433</v>
      </c>
      <c r="X43" s="57">
        <v>0.9402</v>
      </c>
      <c r="Y43" s="57">
        <v>0.8271</v>
      </c>
      <c r="Z43" s="57">
        <v>0.6011</v>
      </c>
      <c r="AA43" s="57">
        <v>0.3751</v>
      </c>
      <c r="AB43" s="57">
        <f t="shared" si="2"/>
        <v>0.6915</v>
      </c>
      <c r="AC43" s="57">
        <v>0.47</v>
      </c>
      <c r="AD43" s="73"/>
      <c r="AE43" s="73"/>
      <c r="AF43" s="58">
        <v>0.87</v>
      </c>
      <c r="AG43" s="58">
        <f t="shared" si="3"/>
        <v>1.03166133048737</v>
      </c>
      <c r="AH43" s="58">
        <v>0.81</v>
      </c>
    </row>
    <row r="44" ht="14.25" spans="1:34">
      <c r="A44" s="52">
        <v>42</v>
      </c>
      <c r="B44" s="61" t="s">
        <v>891</v>
      </c>
      <c r="C44" s="62" t="s">
        <v>892</v>
      </c>
      <c r="D44" s="64" t="s">
        <v>894</v>
      </c>
      <c r="E44" s="57">
        <v>32</v>
      </c>
      <c r="F44" s="52">
        <f>1.225</f>
        <v>1.225</v>
      </c>
      <c r="G44" s="57">
        <v>1.058</v>
      </c>
      <c r="H44" s="58">
        <f t="shared" si="0"/>
        <v>1.18825</v>
      </c>
      <c r="I44" s="52">
        <v>32</v>
      </c>
      <c r="J44" s="52">
        <v>1.182</v>
      </c>
      <c r="K44" s="56">
        <v>1336</v>
      </c>
      <c r="L44" s="56">
        <v>812</v>
      </c>
      <c r="M44" s="57">
        <v>0</v>
      </c>
      <c r="N44" s="57">
        <v>0</v>
      </c>
      <c r="O44" s="57">
        <v>0</v>
      </c>
      <c r="P44" s="57">
        <v>0</v>
      </c>
      <c r="Q44" s="57">
        <v>0</v>
      </c>
      <c r="R44" s="57">
        <v>0.3914</v>
      </c>
      <c r="S44" s="57">
        <v>1.1492</v>
      </c>
      <c r="T44" s="57">
        <v>1.0101</v>
      </c>
      <c r="U44" s="57">
        <v>0.7321</v>
      </c>
      <c r="V44" s="57">
        <v>0.4541</v>
      </c>
      <c r="W44" s="57">
        <f t="shared" si="4"/>
        <v>0.8433</v>
      </c>
      <c r="X44" s="57">
        <v>0.9402</v>
      </c>
      <c r="Y44" s="57">
        <v>0.8271</v>
      </c>
      <c r="Z44" s="57">
        <v>0.6011</v>
      </c>
      <c r="AA44" s="57">
        <v>0.3751</v>
      </c>
      <c r="AB44" s="57">
        <f t="shared" si="2"/>
        <v>0.6915</v>
      </c>
      <c r="AC44" s="57">
        <v>0.47</v>
      </c>
      <c r="AD44" s="73"/>
      <c r="AE44" s="73"/>
      <c r="AF44" s="73"/>
      <c r="AG44" s="58">
        <f t="shared" si="3"/>
        <v>0</v>
      </c>
      <c r="AH44" s="73"/>
    </row>
    <row r="45" ht="14.25" spans="1:34">
      <c r="A45" s="52">
        <v>43</v>
      </c>
      <c r="B45" s="61" t="s">
        <v>891</v>
      </c>
      <c r="C45" s="62" t="s">
        <v>892</v>
      </c>
      <c r="D45" s="64" t="s">
        <v>895</v>
      </c>
      <c r="E45" s="57">
        <v>41</v>
      </c>
      <c r="F45" s="52">
        <v>1.536</v>
      </c>
      <c r="G45" s="57">
        <v>1.2</v>
      </c>
      <c r="H45" s="58">
        <f t="shared" si="0"/>
        <v>1.48992</v>
      </c>
      <c r="I45" s="52">
        <v>42</v>
      </c>
      <c r="J45" s="68">
        <v>1.574</v>
      </c>
      <c r="K45" s="56">
        <v>1497</v>
      </c>
      <c r="L45" s="56">
        <v>646</v>
      </c>
      <c r="M45" s="57">
        <v>0</v>
      </c>
      <c r="N45" s="57">
        <v>0</v>
      </c>
      <c r="O45" s="57">
        <v>0</v>
      </c>
      <c r="P45" s="57">
        <v>0</v>
      </c>
      <c r="Q45" s="57">
        <v>0</v>
      </c>
      <c r="R45" s="57">
        <v>0.3971</v>
      </c>
      <c r="S45" s="57">
        <v>1.0636</v>
      </c>
      <c r="T45" s="57">
        <v>0.9352</v>
      </c>
      <c r="U45" s="57">
        <v>0.6786</v>
      </c>
      <c r="V45" s="57">
        <v>0.422</v>
      </c>
      <c r="W45" s="57">
        <f t="shared" si="4"/>
        <v>0.78124</v>
      </c>
      <c r="X45" s="57">
        <v>0.8546</v>
      </c>
      <c r="Y45" s="57">
        <v>0.7522</v>
      </c>
      <c r="Z45" s="57">
        <v>0.5476</v>
      </c>
      <c r="AA45" s="57">
        <v>0.343</v>
      </c>
      <c r="AB45" s="57">
        <f t="shared" si="2"/>
        <v>0.62944</v>
      </c>
      <c r="AC45" s="57">
        <v>0.47</v>
      </c>
      <c r="AD45" s="73"/>
      <c r="AE45" s="73"/>
      <c r="AF45" s="73"/>
      <c r="AG45" s="58">
        <f t="shared" si="3"/>
        <v>0</v>
      </c>
      <c r="AH45" s="73"/>
    </row>
    <row r="46" ht="14.25" spans="1:34">
      <c r="A46" s="52">
        <v>44</v>
      </c>
      <c r="B46" s="61" t="s">
        <v>891</v>
      </c>
      <c r="C46" s="62" t="s">
        <v>892</v>
      </c>
      <c r="D46" s="64" t="s">
        <v>896</v>
      </c>
      <c r="E46" s="57">
        <v>33</v>
      </c>
      <c r="F46" s="52">
        <v>1.239</v>
      </c>
      <c r="G46" s="57">
        <v>1.096</v>
      </c>
      <c r="H46" s="58">
        <f t="shared" si="0"/>
        <v>1.20183</v>
      </c>
      <c r="I46" s="52">
        <v>36</v>
      </c>
      <c r="J46" s="52">
        <v>1.338</v>
      </c>
      <c r="K46" s="56">
        <v>1345</v>
      </c>
      <c r="L46" s="56">
        <v>811</v>
      </c>
      <c r="M46" s="57">
        <v>0</v>
      </c>
      <c r="N46" s="57">
        <v>0</v>
      </c>
      <c r="O46" s="57">
        <v>0</v>
      </c>
      <c r="P46" s="57">
        <v>0</v>
      </c>
      <c r="Q46" s="57">
        <v>0</v>
      </c>
      <c r="R46" s="57">
        <v>0.3971</v>
      </c>
      <c r="S46" s="57">
        <v>1.0636</v>
      </c>
      <c r="T46" s="57">
        <v>0.9352</v>
      </c>
      <c r="U46" s="57">
        <v>0.6786</v>
      </c>
      <c r="V46" s="57">
        <v>0.422</v>
      </c>
      <c r="W46" s="57">
        <f t="shared" si="4"/>
        <v>0.78124</v>
      </c>
      <c r="X46" s="57">
        <v>0.8546</v>
      </c>
      <c r="Y46" s="57">
        <v>0.7522</v>
      </c>
      <c r="Z46" s="57">
        <v>0.5476</v>
      </c>
      <c r="AA46" s="57">
        <v>0.343</v>
      </c>
      <c r="AB46" s="57">
        <f t="shared" si="2"/>
        <v>0.62944</v>
      </c>
      <c r="AC46" s="57">
        <v>0.47</v>
      </c>
      <c r="AD46" s="73"/>
      <c r="AE46" s="73"/>
      <c r="AF46" s="73"/>
      <c r="AG46" s="58">
        <f t="shared" si="3"/>
        <v>0</v>
      </c>
      <c r="AH46" s="73"/>
    </row>
    <row r="47" ht="14.25" spans="1:34">
      <c r="A47" s="52">
        <v>45</v>
      </c>
      <c r="B47" s="61" t="s">
        <v>891</v>
      </c>
      <c r="C47" s="62" t="s">
        <v>892</v>
      </c>
      <c r="D47" s="64" t="s">
        <v>897</v>
      </c>
      <c r="E47" s="57">
        <v>35</v>
      </c>
      <c r="F47" s="52">
        <v>1.313</v>
      </c>
      <c r="G47" s="57">
        <v>1.127</v>
      </c>
      <c r="H47" s="58">
        <f t="shared" si="0"/>
        <v>1.27361</v>
      </c>
      <c r="I47" s="52">
        <v>38</v>
      </c>
      <c r="J47" s="52">
        <v>1.442</v>
      </c>
      <c r="K47" s="56">
        <v>1363</v>
      </c>
      <c r="L47" s="56">
        <v>776</v>
      </c>
      <c r="M47" s="57">
        <v>0</v>
      </c>
      <c r="N47" s="57">
        <v>0</v>
      </c>
      <c r="O47" s="57">
        <v>0</v>
      </c>
      <c r="P47" s="57">
        <v>0</v>
      </c>
      <c r="Q47" s="57">
        <v>0</v>
      </c>
      <c r="R47" s="57">
        <v>0.3971</v>
      </c>
      <c r="S47" s="57">
        <v>1.0636</v>
      </c>
      <c r="T47" s="57">
        <v>0.9352</v>
      </c>
      <c r="U47" s="57">
        <v>0.6786</v>
      </c>
      <c r="V47" s="57">
        <v>0.422</v>
      </c>
      <c r="W47" s="57">
        <f t="shared" si="4"/>
        <v>0.78124</v>
      </c>
      <c r="X47" s="57">
        <v>0.8546</v>
      </c>
      <c r="Y47" s="57">
        <v>0.7522</v>
      </c>
      <c r="Z47" s="57">
        <v>0.5476</v>
      </c>
      <c r="AA47" s="57">
        <v>0.343</v>
      </c>
      <c r="AB47" s="57">
        <f t="shared" si="2"/>
        <v>0.62944</v>
      </c>
      <c r="AC47" s="57">
        <v>0.47</v>
      </c>
      <c r="AD47" s="73"/>
      <c r="AE47" s="73"/>
      <c r="AF47" s="73"/>
      <c r="AG47" s="58">
        <f t="shared" si="3"/>
        <v>0</v>
      </c>
      <c r="AH47" s="73"/>
    </row>
    <row r="48" ht="14.25" spans="1:34">
      <c r="A48" s="52">
        <v>46</v>
      </c>
      <c r="B48" s="61" t="s">
        <v>891</v>
      </c>
      <c r="C48" s="62" t="s">
        <v>892</v>
      </c>
      <c r="D48" s="64" t="s">
        <v>898</v>
      </c>
      <c r="E48" s="57">
        <v>32</v>
      </c>
      <c r="F48" s="52">
        <v>1.234</v>
      </c>
      <c r="G48" s="57">
        <v>1.102</v>
      </c>
      <c r="H48" s="58">
        <f t="shared" si="0"/>
        <v>1.19698</v>
      </c>
      <c r="I48" s="52">
        <v>36</v>
      </c>
      <c r="J48" s="52">
        <v>1.422</v>
      </c>
      <c r="K48" s="56">
        <v>1350</v>
      </c>
      <c r="L48" s="56">
        <v>812</v>
      </c>
      <c r="M48" s="57">
        <v>0</v>
      </c>
      <c r="N48" s="57">
        <v>0</v>
      </c>
      <c r="O48" s="57">
        <v>0</v>
      </c>
      <c r="P48" s="57">
        <v>0</v>
      </c>
      <c r="Q48" s="57">
        <v>0</v>
      </c>
      <c r="R48" s="57">
        <v>0.3914</v>
      </c>
      <c r="S48" s="57">
        <v>1.1492</v>
      </c>
      <c r="T48" s="57">
        <v>1.0101</v>
      </c>
      <c r="U48" s="57">
        <v>0.7321</v>
      </c>
      <c r="V48" s="57">
        <v>0.4541</v>
      </c>
      <c r="W48" s="57">
        <f t="shared" si="4"/>
        <v>0.8433</v>
      </c>
      <c r="X48" s="57">
        <v>0.9402</v>
      </c>
      <c r="Y48" s="57">
        <v>0.8271</v>
      </c>
      <c r="Z48" s="57">
        <v>0.6011</v>
      </c>
      <c r="AA48" s="57">
        <v>0.3751</v>
      </c>
      <c r="AB48" s="57">
        <f t="shared" si="2"/>
        <v>0.6915</v>
      </c>
      <c r="AC48" s="57">
        <v>0.47</v>
      </c>
      <c r="AD48" s="73"/>
      <c r="AE48" s="73"/>
      <c r="AF48" s="73"/>
      <c r="AG48" s="58">
        <f t="shared" si="3"/>
        <v>0</v>
      </c>
      <c r="AH48" s="73"/>
    </row>
    <row r="49" ht="14.25" spans="1:34">
      <c r="A49" s="52">
        <v>47</v>
      </c>
      <c r="B49" s="61" t="s">
        <v>891</v>
      </c>
      <c r="C49" s="62" t="s">
        <v>892</v>
      </c>
      <c r="D49" s="64" t="s">
        <v>899</v>
      </c>
      <c r="E49" s="57">
        <v>32</v>
      </c>
      <c r="F49" s="52">
        <v>1.257</v>
      </c>
      <c r="G49" s="57">
        <v>1.111</v>
      </c>
      <c r="H49" s="58">
        <f t="shared" si="0"/>
        <v>1.21929</v>
      </c>
      <c r="I49" s="52">
        <v>36</v>
      </c>
      <c r="J49" s="52">
        <v>1.422</v>
      </c>
      <c r="K49" s="56">
        <v>1364</v>
      </c>
      <c r="L49" s="56">
        <v>804</v>
      </c>
      <c r="M49" s="57">
        <v>0</v>
      </c>
      <c r="N49" s="57">
        <v>0</v>
      </c>
      <c r="O49" s="57">
        <v>0</v>
      </c>
      <c r="P49" s="57">
        <v>0</v>
      </c>
      <c r="Q49" s="57">
        <v>0</v>
      </c>
      <c r="R49" s="57">
        <v>0.3914</v>
      </c>
      <c r="S49" s="57">
        <v>1.1492</v>
      </c>
      <c r="T49" s="57">
        <v>1.0101</v>
      </c>
      <c r="U49" s="57">
        <v>0.7321</v>
      </c>
      <c r="V49" s="57">
        <v>0.4541</v>
      </c>
      <c r="W49" s="57">
        <f t="shared" si="4"/>
        <v>0.8433</v>
      </c>
      <c r="X49" s="57">
        <v>0.9402</v>
      </c>
      <c r="Y49" s="57">
        <v>0.8271</v>
      </c>
      <c r="Z49" s="57">
        <v>0.6011</v>
      </c>
      <c r="AA49" s="57">
        <v>0.3751</v>
      </c>
      <c r="AB49" s="57">
        <f t="shared" si="2"/>
        <v>0.6915</v>
      </c>
      <c r="AC49" s="57">
        <v>0.47</v>
      </c>
      <c r="AD49" s="73"/>
      <c r="AE49" s="73"/>
      <c r="AF49" s="73"/>
      <c r="AG49" s="58">
        <f t="shared" si="3"/>
        <v>0</v>
      </c>
      <c r="AH49" s="73"/>
    </row>
    <row r="50" ht="14.25" spans="1:34">
      <c r="A50" s="52">
        <v>48</v>
      </c>
      <c r="B50" s="61" t="s">
        <v>891</v>
      </c>
      <c r="C50" s="62" t="s">
        <v>892</v>
      </c>
      <c r="D50" s="64" t="s">
        <v>900</v>
      </c>
      <c r="E50" s="57">
        <v>39</v>
      </c>
      <c r="F50" s="52">
        <v>1.504</v>
      </c>
      <c r="G50" s="57">
        <v>1.24</v>
      </c>
      <c r="H50" s="58">
        <f t="shared" si="0"/>
        <v>1.45888</v>
      </c>
      <c r="I50" s="52">
        <v>38</v>
      </c>
      <c r="J50" s="52">
        <v>1.375</v>
      </c>
      <c r="K50" s="56">
        <v>1504</v>
      </c>
      <c r="L50" s="56">
        <v>662</v>
      </c>
      <c r="M50" s="57">
        <v>0</v>
      </c>
      <c r="N50" s="57">
        <v>0</v>
      </c>
      <c r="O50" s="57">
        <v>0</v>
      </c>
      <c r="P50" s="57">
        <v>0</v>
      </c>
      <c r="Q50" s="57">
        <v>0</v>
      </c>
      <c r="R50" s="57">
        <v>0.3971</v>
      </c>
      <c r="S50" s="57">
        <v>1.0636</v>
      </c>
      <c r="T50" s="57">
        <v>0.9352</v>
      </c>
      <c r="U50" s="57">
        <v>0.6786</v>
      </c>
      <c r="V50" s="57">
        <v>0.422</v>
      </c>
      <c r="W50" s="57">
        <f t="shared" si="4"/>
        <v>0.78124</v>
      </c>
      <c r="X50" s="57">
        <v>0.8546</v>
      </c>
      <c r="Y50" s="57">
        <v>0.7522</v>
      </c>
      <c r="Z50" s="57">
        <v>0.5476</v>
      </c>
      <c r="AA50" s="57">
        <v>0.343</v>
      </c>
      <c r="AB50" s="57">
        <f t="shared" si="2"/>
        <v>0.62944</v>
      </c>
      <c r="AC50" s="57">
        <v>0.47</v>
      </c>
      <c r="AD50" s="73"/>
      <c r="AE50" s="73"/>
      <c r="AF50" s="73"/>
      <c r="AG50" s="58">
        <f t="shared" si="3"/>
        <v>0</v>
      </c>
      <c r="AH50" s="73"/>
    </row>
    <row r="51" ht="14.25" spans="1:34">
      <c r="A51" s="52">
        <v>49</v>
      </c>
      <c r="B51" s="61" t="s">
        <v>891</v>
      </c>
      <c r="C51" s="62" t="s">
        <v>892</v>
      </c>
      <c r="D51" s="64" t="s">
        <v>901</v>
      </c>
      <c r="E51" s="57">
        <v>31</v>
      </c>
      <c r="F51" s="52">
        <v>1.2</v>
      </c>
      <c r="G51" s="57">
        <v>1.06</v>
      </c>
      <c r="H51" s="58">
        <f t="shared" si="0"/>
        <v>1.164</v>
      </c>
      <c r="I51" s="52">
        <v>37</v>
      </c>
      <c r="J51" s="52">
        <v>1.462</v>
      </c>
      <c r="K51" s="56">
        <v>1335</v>
      </c>
      <c r="L51" s="56">
        <v>822</v>
      </c>
      <c r="M51" s="57">
        <v>0</v>
      </c>
      <c r="N51" s="57">
        <v>0</v>
      </c>
      <c r="O51" s="57">
        <v>0</v>
      </c>
      <c r="P51" s="57">
        <v>0</v>
      </c>
      <c r="Q51" s="57">
        <v>0</v>
      </c>
      <c r="R51" s="57">
        <v>0.3914</v>
      </c>
      <c r="S51" s="57">
        <v>1.1492</v>
      </c>
      <c r="T51" s="57">
        <v>1.0101</v>
      </c>
      <c r="U51" s="57">
        <v>0.7321</v>
      </c>
      <c r="V51" s="57">
        <v>0.4541</v>
      </c>
      <c r="W51" s="57">
        <f t="shared" si="4"/>
        <v>0.8433</v>
      </c>
      <c r="X51" s="57">
        <v>0.9402</v>
      </c>
      <c r="Y51" s="57">
        <v>0.8271</v>
      </c>
      <c r="Z51" s="57">
        <v>0.6011</v>
      </c>
      <c r="AA51" s="57">
        <v>0.3751</v>
      </c>
      <c r="AB51" s="57">
        <f t="shared" si="2"/>
        <v>0.6915</v>
      </c>
      <c r="AC51" s="57">
        <v>0.47</v>
      </c>
      <c r="AD51" s="73"/>
      <c r="AE51" s="73"/>
      <c r="AF51" s="73"/>
      <c r="AG51" s="58">
        <f t="shared" si="3"/>
        <v>0</v>
      </c>
      <c r="AH51" s="73"/>
    </row>
    <row r="52" ht="14.25" spans="1:34">
      <c r="A52" s="52">
        <v>50</v>
      </c>
      <c r="B52" s="61" t="s">
        <v>891</v>
      </c>
      <c r="C52" s="62" t="s">
        <v>892</v>
      </c>
      <c r="D52" s="64" t="s">
        <v>902</v>
      </c>
      <c r="E52" s="57">
        <v>34</v>
      </c>
      <c r="F52" s="52">
        <v>1.28</v>
      </c>
      <c r="G52" s="57">
        <v>1.101</v>
      </c>
      <c r="H52" s="58">
        <f t="shared" si="0"/>
        <v>1.2416</v>
      </c>
      <c r="I52" s="52">
        <v>40</v>
      </c>
      <c r="J52" s="52">
        <v>1.491</v>
      </c>
      <c r="K52" s="56">
        <v>1352</v>
      </c>
      <c r="L52" s="56">
        <v>787</v>
      </c>
      <c r="M52" s="57">
        <v>0</v>
      </c>
      <c r="N52" s="57">
        <v>0</v>
      </c>
      <c r="O52" s="57">
        <v>0</v>
      </c>
      <c r="P52" s="57">
        <v>0</v>
      </c>
      <c r="Q52" s="57">
        <v>0</v>
      </c>
      <c r="R52" s="57">
        <v>0.3971</v>
      </c>
      <c r="S52" s="57">
        <v>1.0636</v>
      </c>
      <c r="T52" s="57">
        <v>0.9352</v>
      </c>
      <c r="U52" s="57">
        <v>0.6786</v>
      </c>
      <c r="V52" s="57">
        <v>0.422</v>
      </c>
      <c r="W52" s="57">
        <f t="shared" si="4"/>
        <v>0.78124</v>
      </c>
      <c r="X52" s="57">
        <v>0.8546</v>
      </c>
      <c r="Y52" s="57">
        <v>0.7522</v>
      </c>
      <c r="Z52" s="57">
        <v>0.5476</v>
      </c>
      <c r="AA52" s="57">
        <v>0.343</v>
      </c>
      <c r="AB52" s="57">
        <f t="shared" si="2"/>
        <v>0.62944</v>
      </c>
      <c r="AC52" s="57">
        <v>0.47</v>
      </c>
      <c r="AD52" s="73"/>
      <c r="AE52" s="73"/>
      <c r="AF52" s="73"/>
      <c r="AG52" s="58">
        <f t="shared" si="3"/>
        <v>0</v>
      </c>
      <c r="AH52" s="73"/>
    </row>
    <row r="53" ht="14.25" spans="1:34">
      <c r="A53" s="52">
        <v>51</v>
      </c>
      <c r="B53" s="61" t="s">
        <v>891</v>
      </c>
      <c r="C53" s="62" t="s">
        <v>892</v>
      </c>
      <c r="D53" s="64" t="s">
        <v>903</v>
      </c>
      <c r="E53" s="57">
        <v>30</v>
      </c>
      <c r="F53" s="52">
        <v>1.232</v>
      </c>
      <c r="G53" s="57">
        <v>1.091</v>
      </c>
      <c r="H53" s="58">
        <f t="shared" si="0"/>
        <v>1.19504</v>
      </c>
      <c r="I53" s="52">
        <v>36</v>
      </c>
      <c r="J53" s="52">
        <v>1.442</v>
      </c>
      <c r="K53" s="56">
        <v>1348</v>
      </c>
      <c r="L53" s="56">
        <v>815</v>
      </c>
      <c r="M53" s="57">
        <v>0</v>
      </c>
      <c r="N53" s="57">
        <v>0</v>
      </c>
      <c r="O53" s="57">
        <v>0</v>
      </c>
      <c r="P53" s="57">
        <v>0</v>
      </c>
      <c r="Q53" s="57">
        <v>0</v>
      </c>
      <c r="R53" s="57">
        <v>0.3914</v>
      </c>
      <c r="S53" s="57">
        <v>1.1492</v>
      </c>
      <c r="T53" s="57">
        <v>1.0101</v>
      </c>
      <c r="U53" s="57">
        <v>0.7321</v>
      </c>
      <c r="V53" s="57">
        <v>0.4541</v>
      </c>
      <c r="W53" s="57">
        <f t="shared" si="4"/>
        <v>0.8433</v>
      </c>
      <c r="X53" s="57">
        <v>0.9402</v>
      </c>
      <c r="Y53" s="57">
        <v>0.8271</v>
      </c>
      <c r="Z53" s="57">
        <v>0.6011</v>
      </c>
      <c r="AA53" s="57">
        <v>0.3751</v>
      </c>
      <c r="AB53" s="57">
        <f t="shared" si="2"/>
        <v>0.6915</v>
      </c>
      <c r="AC53" s="57">
        <v>0.47</v>
      </c>
      <c r="AD53" s="73"/>
      <c r="AE53" s="73"/>
      <c r="AF53" s="73"/>
      <c r="AG53" s="58">
        <f t="shared" si="3"/>
        <v>0</v>
      </c>
      <c r="AH53" s="73"/>
    </row>
    <row r="54" ht="14.25" spans="1:34">
      <c r="A54" s="52">
        <v>52</v>
      </c>
      <c r="B54" s="61" t="s">
        <v>891</v>
      </c>
      <c r="C54" s="62" t="s">
        <v>500</v>
      </c>
      <c r="D54" s="65" t="s">
        <v>551</v>
      </c>
      <c r="E54" s="57">
        <v>36</v>
      </c>
      <c r="F54" s="63">
        <v>1.332</v>
      </c>
      <c r="G54" s="57">
        <v>1.142</v>
      </c>
      <c r="H54" s="58">
        <f t="shared" si="0"/>
        <v>1.29204</v>
      </c>
      <c r="I54" s="52">
        <v>33</v>
      </c>
      <c r="J54" s="52">
        <v>1.341</v>
      </c>
      <c r="K54" s="56">
        <v>1397</v>
      </c>
      <c r="L54" s="56">
        <v>744</v>
      </c>
      <c r="M54" s="57">
        <v>0</v>
      </c>
      <c r="N54" s="57">
        <v>0</v>
      </c>
      <c r="O54" s="57">
        <v>0</v>
      </c>
      <c r="P54" s="57">
        <v>0</v>
      </c>
      <c r="Q54" s="57">
        <v>0</v>
      </c>
      <c r="R54" s="57">
        <v>0.3538</v>
      </c>
      <c r="S54" s="73"/>
      <c r="T54" s="57">
        <v>1.071</v>
      </c>
      <c r="U54" s="57">
        <v>0.7372</v>
      </c>
      <c r="V54" s="57">
        <v>0.4268</v>
      </c>
      <c r="W54" s="57">
        <f t="shared" si="4"/>
        <v>0.87072</v>
      </c>
      <c r="X54" s="73"/>
      <c r="Y54" s="57">
        <v>0.766</v>
      </c>
      <c r="Z54" s="57">
        <v>0.5292</v>
      </c>
      <c r="AA54" s="57">
        <v>0.309</v>
      </c>
      <c r="AB54" s="57">
        <f t="shared" si="2"/>
        <v>0.62392</v>
      </c>
      <c r="AC54" s="57">
        <v>0.467</v>
      </c>
      <c r="AD54" s="73"/>
      <c r="AE54" s="73"/>
      <c r="AF54" s="58">
        <v>0.79</v>
      </c>
      <c r="AG54" s="58">
        <f t="shared" si="3"/>
        <v>0.907295112091143</v>
      </c>
      <c r="AH54" s="58">
        <v>0.75</v>
      </c>
    </row>
    <row r="55" ht="14.25" spans="1:34">
      <c r="A55" s="52">
        <v>53</v>
      </c>
      <c r="B55" s="61" t="s">
        <v>891</v>
      </c>
      <c r="C55" s="62" t="s">
        <v>500</v>
      </c>
      <c r="D55" s="64" t="s">
        <v>549</v>
      </c>
      <c r="E55" s="57">
        <v>38</v>
      </c>
      <c r="F55" s="52">
        <v>1.603</v>
      </c>
      <c r="G55" s="57">
        <v>1.3</v>
      </c>
      <c r="H55" s="60">
        <f t="shared" si="0"/>
        <v>1.55491</v>
      </c>
      <c r="I55" s="52">
        <v>36</v>
      </c>
      <c r="J55" s="52">
        <v>1.474</v>
      </c>
      <c r="K55" s="56">
        <v>1481</v>
      </c>
      <c r="L55" s="56">
        <v>667</v>
      </c>
      <c r="M55" s="57">
        <v>0</v>
      </c>
      <c r="N55" s="57">
        <v>0</v>
      </c>
      <c r="O55" s="57">
        <v>0</v>
      </c>
      <c r="P55" s="57">
        <v>0</v>
      </c>
      <c r="Q55" s="57">
        <v>0</v>
      </c>
      <c r="R55" s="57">
        <v>0.3538</v>
      </c>
      <c r="S55" s="73"/>
      <c r="T55" s="57">
        <v>1.071</v>
      </c>
      <c r="U55" s="57">
        <v>0.7372</v>
      </c>
      <c r="V55" s="57">
        <v>0.4268</v>
      </c>
      <c r="W55" s="57">
        <f t="shared" si="4"/>
        <v>0.87072</v>
      </c>
      <c r="X55" s="73"/>
      <c r="Y55" s="57">
        <v>0.766</v>
      </c>
      <c r="Z55" s="57">
        <v>0.5292</v>
      </c>
      <c r="AA55" s="57">
        <v>0.309</v>
      </c>
      <c r="AB55" s="57">
        <f t="shared" si="2"/>
        <v>0.62392</v>
      </c>
      <c r="AC55" s="57">
        <v>0.467</v>
      </c>
      <c r="AD55" s="73"/>
      <c r="AE55" s="73"/>
      <c r="AF55" s="73"/>
      <c r="AG55" s="58">
        <f t="shared" si="3"/>
        <v>0</v>
      </c>
      <c r="AH55" s="73"/>
    </row>
    <row r="56" ht="14.25" spans="1:34">
      <c r="A56" s="52">
        <v>54</v>
      </c>
      <c r="B56" s="61" t="s">
        <v>891</v>
      </c>
      <c r="C56" s="62" t="s">
        <v>500</v>
      </c>
      <c r="D56" s="64" t="s">
        <v>904</v>
      </c>
      <c r="E56" s="57">
        <v>38</v>
      </c>
      <c r="F56" s="52">
        <v>1.505</v>
      </c>
      <c r="G56" s="57">
        <v>1.254</v>
      </c>
      <c r="H56" s="60">
        <f t="shared" si="0"/>
        <v>1.45985</v>
      </c>
      <c r="I56" s="52">
        <v>36</v>
      </c>
      <c r="J56" s="52">
        <v>1.489</v>
      </c>
      <c r="K56" s="56">
        <v>1523</v>
      </c>
      <c r="L56" s="56">
        <v>659</v>
      </c>
      <c r="M56" s="57">
        <v>0</v>
      </c>
      <c r="N56" s="57">
        <v>0</v>
      </c>
      <c r="O56" s="57">
        <v>0</v>
      </c>
      <c r="P56" s="57">
        <v>0</v>
      </c>
      <c r="Q56" s="57">
        <v>0</v>
      </c>
      <c r="R56" s="57">
        <v>0.3538</v>
      </c>
      <c r="S56" s="73"/>
      <c r="T56" s="57">
        <v>1.071</v>
      </c>
      <c r="U56" s="57">
        <v>0.7372</v>
      </c>
      <c r="V56" s="57">
        <v>0.4268</v>
      </c>
      <c r="W56" s="57">
        <f t="shared" si="4"/>
        <v>0.87072</v>
      </c>
      <c r="X56" s="73"/>
      <c r="Y56" s="57">
        <v>0.766</v>
      </c>
      <c r="Z56" s="57">
        <v>0.5292</v>
      </c>
      <c r="AA56" s="57">
        <v>0.309</v>
      </c>
      <c r="AB56" s="57">
        <f t="shared" si="2"/>
        <v>0.62392</v>
      </c>
      <c r="AC56" s="57">
        <v>0.467</v>
      </c>
      <c r="AD56" s="73"/>
      <c r="AE56" s="73"/>
      <c r="AF56" s="73"/>
      <c r="AG56" s="58">
        <f t="shared" si="3"/>
        <v>0</v>
      </c>
      <c r="AH56" s="73"/>
    </row>
    <row r="57" ht="14.25" spans="1:34">
      <c r="A57" s="52">
        <v>55</v>
      </c>
      <c r="B57" s="61" t="s">
        <v>891</v>
      </c>
      <c r="C57" s="62" t="s">
        <v>500</v>
      </c>
      <c r="D57" s="64" t="s">
        <v>905</v>
      </c>
      <c r="E57" s="57">
        <v>34</v>
      </c>
      <c r="F57" s="52">
        <v>1.314</v>
      </c>
      <c r="G57" s="57">
        <v>1.135</v>
      </c>
      <c r="H57" s="58">
        <f t="shared" si="0"/>
        <v>1.27458</v>
      </c>
      <c r="I57" s="52">
        <v>33</v>
      </c>
      <c r="J57" s="52">
        <v>1.348</v>
      </c>
      <c r="K57" s="56">
        <v>1394</v>
      </c>
      <c r="L57" s="56">
        <v>706</v>
      </c>
      <c r="M57" s="57">
        <v>0</v>
      </c>
      <c r="N57" s="57">
        <v>0</v>
      </c>
      <c r="O57" s="57">
        <v>0</v>
      </c>
      <c r="P57" s="57">
        <v>0</v>
      </c>
      <c r="Q57" s="57">
        <v>0</v>
      </c>
      <c r="R57" s="57">
        <v>0.3538</v>
      </c>
      <c r="S57" s="73"/>
      <c r="T57" s="57">
        <v>1.071</v>
      </c>
      <c r="U57" s="57">
        <v>0.7372</v>
      </c>
      <c r="V57" s="57">
        <v>0.4268</v>
      </c>
      <c r="W57" s="57">
        <f t="shared" si="4"/>
        <v>0.87072</v>
      </c>
      <c r="X57" s="73"/>
      <c r="Y57" s="57">
        <v>0.766</v>
      </c>
      <c r="Z57" s="57">
        <v>0.5292</v>
      </c>
      <c r="AA57" s="57">
        <v>0.309</v>
      </c>
      <c r="AB57" s="57">
        <f t="shared" si="2"/>
        <v>0.62392</v>
      </c>
      <c r="AC57" s="57">
        <v>0.467</v>
      </c>
      <c r="AD57" s="73"/>
      <c r="AE57" s="73"/>
      <c r="AF57" s="73"/>
      <c r="AG57" s="58">
        <f t="shared" si="3"/>
        <v>0</v>
      </c>
      <c r="AH57" s="73"/>
    </row>
    <row r="58" ht="14.25" spans="1:34">
      <c r="A58" s="52">
        <v>56</v>
      </c>
      <c r="B58" s="61" t="s">
        <v>891</v>
      </c>
      <c r="C58" s="62" t="s">
        <v>500</v>
      </c>
      <c r="D58" s="64" t="s">
        <v>906</v>
      </c>
      <c r="E58" s="57">
        <v>30</v>
      </c>
      <c r="F58" s="52">
        <v>1.281</v>
      </c>
      <c r="G58" s="57">
        <v>1.158</v>
      </c>
      <c r="H58" s="58">
        <f t="shared" si="0"/>
        <v>1.24257</v>
      </c>
      <c r="I58" s="52">
        <v>28</v>
      </c>
      <c r="J58" s="52">
        <v>1.165</v>
      </c>
      <c r="K58" s="56">
        <v>1357</v>
      </c>
      <c r="L58" s="56">
        <v>804</v>
      </c>
      <c r="M58" s="57">
        <v>0</v>
      </c>
      <c r="N58" s="57">
        <v>0</v>
      </c>
      <c r="O58" s="57">
        <v>0</v>
      </c>
      <c r="P58" s="57">
        <v>0</v>
      </c>
      <c r="Q58" s="57">
        <v>0</v>
      </c>
      <c r="R58" s="57">
        <v>0.3538</v>
      </c>
      <c r="S58" s="73"/>
      <c r="T58" s="57">
        <v>1.071</v>
      </c>
      <c r="U58" s="57">
        <v>0.7372</v>
      </c>
      <c r="V58" s="57">
        <v>0.4268</v>
      </c>
      <c r="W58" s="57">
        <f t="shared" si="4"/>
        <v>0.87072</v>
      </c>
      <c r="X58" s="73"/>
      <c r="Y58" s="57">
        <v>0.766</v>
      </c>
      <c r="Z58" s="57">
        <v>0.5292</v>
      </c>
      <c r="AA58" s="57">
        <v>0.309</v>
      </c>
      <c r="AB58" s="57">
        <f t="shared" si="2"/>
        <v>0.62392</v>
      </c>
      <c r="AC58" s="57">
        <v>0.467</v>
      </c>
      <c r="AD58" s="73"/>
      <c r="AE58" s="73"/>
      <c r="AF58" s="73"/>
      <c r="AG58" s="58">
        <f t="shared" si="3"/>
        <v>0</v>
      </c>
      <c r="AH58" s="73"/>
    </row>
    <row r="59" ht="14.25" spans="1:34">
      <c r="A59" s="52">
        <v>57</v>
      </c>
      <c r="B59" s="61" t="s">
        <v>891</v>
      </c>
      <c r="C59" s="62" t="s">
        <v>500</v>
      </c>
      <c r="D59" s="64" t="s">
        <v>907</v>
      </c>
      <c r="E59" s="57">
        <v>33</v>
      </c>
      <c r="F59" s="52">
        <v>1.265</v>
      </c>
      <c r="G59" s="57">
        <v>1.127</v>
      </c>
      <c r="H59" s="58">
        <f t="shared" si="0"/>
        <v>1.22705</v>
      </c>
      <c r="I59" s="52">
        <v>29</v>
      </c>
      <c r="J59" s="52">
        <v>1.234</v>
      </c>
      <c r="K59" s="56">
        <v>1379</v>
      </c>
      <c r="L59" s="56">
        <v>745</v>
      </c>
      <c r="M59" s="57">
        <v>0</v>
      </c>
      <c r="N59" s="57">
        <v>0</v>
      </c>
      <c r="O59" s="57">
        <v>0</v>
      </c>
      <c r="P59" s="57">
        <v>0</v>
      </c>
      <c r="Q59" s="57">
        <v>0</v>
      </c>
      <c r="R59" s="57">
        <v>0.3538</v>
      </c>
      <c r="S59" s="73"/>
      <c r="T59" s="57">
        <v>1.071</v>
      </c>
      <c r="U59" s="57">
        <v>0.7372</v>
      </c>
      <c r="V59" s="57">
        <v>0.4268</v>
      </c>
      <c r="W59" s="57">
        <f t="shared" si="4"/>
        <v>0.87072</v>
      </c>
      <c r="X59" s="73"/>
      <c r="Y59" s="57">
        <v>0.766</v>
      </c>
      <c r="Z59" s="57">
        <v>0.5292</v>
      </c>
      <c r="AA59" s="57">
        <v>0.309</v>
      </c>
      <c r="AB59" s="57">
        <f t="shared" si="2"/>
        <v>0.62392</v>
      </c>
      <c r="AC59" s="57">
        <v>0.467</v>
      </c>
      <c r="AD59" s="73"/>
      <c r="AE59" s="73"/>
      <c r="AF59" s="73"/>
      <c r="AG59" s="58">
        <f t="shared" si="3"/>
        <v>0</v>
      </c>
      <c r="AH59" s="73"/>
    </row>
    <row r="60" ht="14.25" spans="1:34">
      <c r="A60" s="52">
        <v>58</v>
      </c>
      <c r="B60" s="61" t="s">
        <v>891</v>
      </c>
      <c r="C60" s="62" t="s">
        <v>500</v>
      </c>
      <c r="D60" s="64" t="s">
        <v>908</v>
      </c>
      <c r="E60" s="57">
        <v>35</v>
      </c>
      <c r="F60" s="52">
        <v>1.314</v>
      </c>
      <c r="G60" s="57">
        <v>1.133</v>
      </c>
      <c r="H60" s="58">
        <f t="shared" si="0"/>
        <v>1.27458</v>
      </c>
      <c r="I60" s="52">
        <v>34</v>
      </c>
      <c r="J60" s="52">
        <v>1.378</v>
      </c>
      <c r="K60" s="56">
        <v>1386</v>
      </c>
      <c r="L60" s="56">
        <v>702</v>
      </c>
      <c r="M60" s="57">
        <v>0</v>
      </c>
      <c r="N60" s="57">
        <v>0</v>
      </c>
      <c r="O60" s="57">
        <v>0</v>
      </c>
      <c r="P60" s="57">
        <v>0</v>
      </c>
      <c r="Q60" s="57">
        <v>0</v>
      </c>
      <c r="R60" s="57">
        <v>0.3538</v>
      </c>
      <c r="S60" s="73"/>
      <c r="T60" s="57">
        <v>1.071</v>
      </c>
      <c r="U60" s="57">
        <v>0.7372</v>
      </c>
      <c r="V60" s="57">
        <v>0.4268</v>
      </c>
      <c r="W60" s="57">
        <f t="shared" si="4"/>
        <v>0.87072</v>
      </c>
      <c r="X60" s="73"/>
      <c r="Y60" s="57">
        <v>0.766</v>
      </c>
      <c r="Z60" s="57">
        <v>0.5292</v>
      </c>
      <c r="AA60" s="57">
        <v>0.309</v>
      </c>
      <c r="AB60" s="57">
        <f t="shared" si="2"/>
        <v>0.62392</v>
      </c>
      <c r="AC60" s="57">
        <v>0.467</v>
      </c>
      <c r="AD60" s="73"/>
      <c r="AE60" s="73"/>
      <c r="AF60" s="73"/>
      <c r="AG60" s="58">
        <f t="shared" si="3"/>
        <v>0</v>
      </c>
      <c r="AH60" s="73"/>
    </row>
    <row r="61" ht="14.25" spans="1:34">
      <c r="A61" s="52">
        <v>59</v>
      </c>
      <c r="B61" s="61" t="s">
        <v>891</v>
      </c>
      <c r="C61" s="62" t="s">
        <v>500</v>
      </c>
      <c r="D61" s="64" t="s">
        <v>909</v>
      </c>
      <c r="E61" s="57">
        <v>35</v>
      </c>
      <c r="F61" s="52">
        <v>1.341</v>
      </c>
      <c r="G61" s="57">
        <v>1.152</v>
      </c>
      <c r="H61" s="58">
        <f t="shared" si="0"/>
        <v>1.30077</v>
      </c>
      <c r="I61" s="52">
        <v>33</v>
      </c>
      <c r="J61" s="52">
        <v>1.342</v>
      </c>
      <c r="K61" s="56">
        <v>1401</v>
      </c>
      <c r="L61" s="56">
        <v>724</v>
      </c>
      <c r="M61" s="57">
        <v>0</v>
      </c>
      <c r="N61" s="57">
        <v>0</v>
      </c>
      <c r="O61" s="57">
        <v>0</v>
      </c>
      <c r="P61" s="57">
        <v>0</v>
      </c>
      <c r="Q61" s="57">
        <v>0</v>
      </c>
      <c r="R61" s="57">
        <v>0.3538</v>
      </c>
      <c r="S61" s="73"/>
      <c r="T61" s="57">
        <v>1.071</v>
      </c>
      <c r="U61" s="57">
        <v>0.7372</v>
      </c>
      <c r="V61" s="57">
        <v>0.4268</v>
      </c>
      <c r="W61" s="57">
        <f t="shared" si="4"/>
        <v>0.87072</v>
      </c>
      <c r="X61" s="73"/>
      <c r="Y61" s="57">
        <v>0.766</v>
      </c>
      <c r="Z61" s="57">
        <v>0.5292</v>
      </c>
      <c r="AA61" s="57">
        <v>0.309</v>
      </c>
      <c r="AB61" s="57">
        <f t="shared" si="2"/>
        <v>0.62392</v>
      </c>
      <c r="AC61" s="57">
        <v>0.467</v>
      </c>
      <c r="AD61" s="73"/>
      <c r="AE61" s="73"/>
      <c r="AF61" s="73"/>
      <c r="AG61" s="58">
        <f t="shared" si="3"/>
        <v>0</v>
      </c>
      <c r="AH61" s="73"/>
    </row>
    <row r="62" ht="14.25" spans="1:34">
      <c r="A62" s="52">
        <v>60</v>
      </c>
      <c r="B62" s="61" t="s">
        <v>891</v>
      </c>
      <c r="C62" s="62" t="s">
        <v>500</v>
      </c>
      <c r="D62" s="64" t="s">
        <v>910</v>
      </c>
      <c r="E62" s="57">
        <v>34</v>
      </c>
      <c r="F62" s="52">
        <v>1.248</v>
      </c>
      <c r="G62" s="57">
        <v>1.11</v>
      </c>
      <c r="H62" s="58">
        <f t="shared" si="0"/>
        <v>1.21056</v>
      </c>
      <c r="I62" s="52">
        <v>30</v>
      </c>
      <c r="J62" s="52">
        <v>1.231</v>
      </c>
      <c r="K62" s="56">
        <v>1362</v>
      </c>
      <c r="L62" s="56">
        <v>764</v>
      </c>
      <c r="M62" s="57">
        <v>0</v>
      </c>
      <c r="N62" s="57">
        <v>0</v>
      </c>
      <c r="O62" s="57">
        <v>0</v>
      </c>
      <c r="P62" s="57">
        <v>0</v>
      </c>
      <c r="Q62" s="57">
        <v>0</v>
      </c>
      <c r="R62" s="57">
        <v>0.3538</v>
      </c>
      <c r="S62" s="73"/>
      <c r="T62" s="57">
        <v>1.071</v>
      </c>
      <c r="U62" s="57">
        <v>0.7372</v>
      </c>
      <c r="V62" s="57">
        <v>0.4268</v>
      </c>
      <c r="W62" s="57">
        <f t="shared" si="4"/>
        <v>0.87072</v>
      </c>
      <c r="X62" s="73"/>
      <c r="Y62" s="57">
        <v>0.766</v>
      </c>
      <c r="Z62" s="57">
        <v>0.5292</v>
      </c>
      <c r="AA62" s="57">
        <v>0.309</v>
      </c>
      <c r="AB62" s="57">
        <f t="shared" si="2"/>
        <v>0.62392</v>
      </c>
      <c r="AC62" s="57">
        <v>0.467</v>
      </c>
      <c r="AD62" s="73"/>
      <c r="AE62" s="73"/>
      <c r="AF62" s="73"/>
      <c r="AG62" s="58">
        <f t="shared" si="3"/>
        <v>0</v>
      </c>
      <c r="AH62" s="73"/>
    </row>
    <row r="63" ht="14.25" spans="1:34">
      <c r="A63" s="52">
        <v>61</v>
      </c>
      <c r="B63" s="61" t="s">
        <v>891</v>
      </c>
      <c r="C63" s="62" t="s">
        <v>500</v>
      </c>
      <c r="D63" s="64" t="s">
        <v>911</v>
      </c>
      <c r="E63" s="57">
        <v>30</v>
      </c>
      <c r="F63" s="52">
        <v>1.215</v>
      </c>
      <c r="G63" s="57">
        <v>1.099</v>
      </c>
      <c r="H63" s="58">
        <f t="shared" si="0"/>
        <v>1.17855</v>
      </c>
      <c r="I63" s="52">
        <v>26</v>
      </c>
      <c r="J63" s="52">
        <v>1.193</v>
      </c>
      <c r="K63" s="56">
        <v>1354</v>
      </c>
      <c r="L63" s="56">
        <v>792</v>
      </c>
      <c r="M63" s="57">
        <v>0</v>
      </c>
      <c r="N63" s="57">
        <v>0</v>
      </c>
      <c r="O63" s="57">
        <v>0</v>
      </c>
      <c r="P63" s="57">
        <v>0</v>
      </c>
      <c r="Q63" s="57">
        <v>0</v>
      </c>
      <c r="R63" s="57">
        <v>0.3538</v>
      </c>
      <c r="S63" s="73"/>
      <c r="T63" s="57">
        <v>1.071</v>
      </c>
      <c r="U63" s="57">
        <v>0.7372</v>
      </c>
      <c r="V63" s="57">
        <v>0.4268</v>
      </c>
      <c r="W63" s="57">
        <f t="shared" si="4"/>
        <v>0.87072</v>
      </c>
      <c r="X63" s="73"/>
      <c r="Y63" s="57">
        <v>0.766</v>
      </c>
      <c r="Z63" s="57">
        <v>0.5292</v>
      </c>
      <c r="AA63" s="57">
        <v>0.309</v>
      </c>
      <c r="AB63" s="57">
        <f t="shared" si="2"/>
        <v>0.62392</v>
      </c>
      <c r="AC63" s="57">
        <v>0.467</v>
      </c>
      <c r="AD63" s="73"/>
      <c r="AE63" s="73"/>
      <c r="AF63" s="73"/>
      <c r="AG63" s="58">
        <f t="shared" si="3"/>
        <v>0</v>
      </c>
      <c r="AH63" s="73"/>
    </row>
    <row r="64" ht="14.25" spans="1:34">
      <c r="A64" s="52">
        <v>62</v>
      </c>
      <c r="B64" s="61" t="s">
        <v>891</v>
      </c>
      <c r="C64" s="62" t="s">
        <v>500</v>
      </c>
      <c r="D64" s="64" t="s">
        <v>912</v>
      </c>
      <c r="E64" s="57">
        <v>35</v>
      </c>
      <c r="F64" s="52">
        <v>1.316</v>
      </c>
      <c r="G64" s="57">
        <v>1.15</v>
      </c>
      <c r="H64" s="58">
        <f t="shared" si="0"/>
        <v>1.27652</v>
      </c>
      <c r="I64" s="52">
        <v>32</v>
      </c>
      <c r="J64" s="52">
        <v>1.341</v>
      </c>
      <c r="K64" s="56">
        <v>1402</v>
      </c>
      <c r="L64" s="56">
        <v>706</v>
      </c>
      <c r="M64" s="57">
        <v>0</v>
      </c>
      <c r="N64" s="57">
        <v>0</v>
      </c>
      <c r="O64" s="57">
        <v>0</v>
      </c>
      <c r="P64" s="57">
        <v>0</v>
      </c>
      <c r="Q64" s="57">
        <v>0</v>
      </c>
      <c r="R64" s="57">
        <v>0.3538</v>
      </c>
      <c r="S64" s="73"/>
      <c r="T64" s="57">
        <v>1.071</v>
      </c>
      <c r="U64" s="57">
        <v>0.7372</v>
      </c>
      <c r="V64" s="57">
        <v>0.4268</v>
      </c>
      <c r="W64" s="57">
        <f t="shared" si="4"/>
        <v>0.87072</v>
      </c>
      <c r="X64" s="73"/>
      <c r="Y64" s="57">
        <v>0.766</v>
      </c>
      <c r="Z64" s="57">
        <v>0.5292</v>
      </c>
      <c r="AA64" s="57">
        <v>0.309</v>
      </c>
      <c r="AB64" s="57">
        <f t="shared" si="2"/>
        <v>0.62392</v>
      </c>
      <c r="AC64" s="57">
        <v>0.467</v>
      </c>
      <c r="AD64" s="73"/>
      <c r="AE64" s="73"/>
      <c r="AF64" s="73"/>
      <c r="AG64" s="58">
        <f t="shared" si="3"/>
        <v>0</v>
      </c>
      <c r="AH64" s="73"/>
    </row>
    <row r="65" ht="14.25" spans="1:34">
      <c r="A65" s="52">
        <v>63</v>
      </c>
      <c r="B65" s="61" t="s">
        <v>891</v>
      </c>
      <c r="C65" s="62" t="s">
        <v>261</v>
      </c>
      <c r="D65" s="75" t="s">
        <v>913</v>
      </c>
      <c r="E65" s="57">
        <v>40</v>
      </c>
      <c r="F65" s="63">
        <v>1.716</v>
      </c>
      <c r="G65" s="57">
        <v>1.284</v>
      </c>
      <c r="H65" s="58">
        <f t="shared" si="0"/>
        <v>1.66452</v>
      </c>
      <c r="I65" s="52">
        <v>35</v>
      </c>
      <c r="J65" s="52">
        <v>1.349</v>
      </c>
      <c r="K65" s="79">
        <v>1546</v>
      </c>
      <c r="L65" s="79">
        <v>616</v>
      </c>
      <c r="M65" s="57">
        <v>0</v>
      </c>
      <c r="N65" s="57">
        <v>0</v>
      </c>
      <c r="O65" s="57">
        <v>0</v>
      </c>
      <c r="P65" s="57">
        <v>0</v>
      </c>
      <c r="Q65" s="57">
        <v>0</v>
      </c>
      <c r="R65" s="57">
        <v>0.2937</v>
      </c>
      <c r="S65" s="57"/>
      <c r="T65" s="57"/>
      <c r="U65" s="57">
        <v>0.6333</v>
      </c>
      <c r="V65" s="57"/>
      <c r="W65" s="57">
        <f t="shared" si="4"/>
        <v>0.6333</v>
      </c>
      <c r="X65" s="57"/>
      <c r="Y65" s="57"/>
      <c r="Z65" s="57">
        <v>0.4813</v>
      </c>
      <c r="AA65" s="57"/>
      <c r="AB65" s="57">
        <f t="shared" si="2"/>
        <v>0.4813</v>
      </c>
      <c r="AC65" s="57">
        <v>0.42</v>
      </c>
      <c r="AD65" s="57">
        <v>0.47</v>
      </c>
      <c r="AE65" s="57">
        <v>0.72</v>
      </c>
      <c r="AF65" s="73"/>
      <c r="AG65" s="58">
        <f t="shared" si="3"/>
        <v>0</v>
      </c>
      <c r="AH65" s="73"/>
    </row>
    <row r="66" ht="14.25" spans="1:34">
      <c r="A66" s="52">
        <v>64</v>
      </c>
      <c r="B66" s="61" t="s">
        <v>891</v>
      </c>
      <c r="C66" s="62" t="s">
        <v>261</v>
      </c>
      <c r="D66" s="64" t="s">
        <v>914</v>
      </c>
      <c r="E66" s="57">
        <v>40</v>
      </c>
      <c r="F66" s="52">
        <v>1.718</v>
      </c>
      <c r="G66" s="57">
        <v>1.377</v>
      </c>
      <c r="H66" s="58">
        <f t="shared" si="0"/>
        <v>1.66646</v>
      </c>
      <c r="I66" s="52">
        <v>41</v>
      </c>
      <c r="J66" s="52">
        <v>1.6</v>
      </c>
      <c r="K66" s="79">
        <v>1652</v>
      </c>
      <c r="L66" s="79">
        <v>610</v>
      </c>
      <c r="M66" s="57">
        <v>0</v>
      </c>
      <c r="N66" s="57">
        <v>0</v>
      </c>
      <c r="O66" s="57">
        <v>0</v>
      </c>
      <c r="P66" s="57">
        <v>0</v>
      </c>
      <c r="Q66" s="57">
        <v>0</v>
      </c>
      <c r="R66" s="57">
        <v>0.2937</v>
      </c>
      <c r="S66" s="57"/>
      <c r="T66" s="57"/>
      <c r="U66" s="57">
        <v>0.6333</v>
      </c>
      <c r="V66" s="57"/>
      <c r="W66" s="57">
        <f t="shared" si="4"/>
        <v>0.6333</v>
      </c>
      <c r="X66" s="57"/>
      <c r="Y66" s="57"/>
      <c r="Z66" s="57">
        <v>0.4813</v>
      </c>
      <c r="AA66" s="57"/>
      <c r="AB66" s="57">
        <f t="shared" si="2"/>
        <v>0.4813</v>
      </c>
      <c r="AC66" s="57">
        <v>0.42</v>
      </c>
      <c r="AD66" s="57">
        <v>0.47</v>
      </c>
      <c r="AE66" s="57">
        <v>0.72</v>
      </c>
      <c r="AF66" s="73"/>
      <c r="AG66" s="58">
        <f t="shared" si="3"/>
        <v>0</v>
      </c>
      <c r="AH66" s="73"/>
    </row>
    <row r="67" ht="14.25" spans="1:34">
      <c r="A67" s="52">
        <v>65</v>
      </c>
      <c r="B67" s="61" t="s">
        <v>891</v>
      </c>
      <c r="C67" s="62" t="s">
        <v>261</v>
      </c>
      <c r="D67" s="64" t="s">
        <v>915</v>
      </c>
      <c r="E67" s="57">
        <v>40</v>
      </c>
      <c r="F67" s="52">
        <v>1.579</v>
      </c>
      <c r="G67" s="57">
        <v>1.277</v>
      </c>
      <c r="H67" s="58">
        <f t="shared" ref="H67:H75" si="5">F67*0.97</f>
        <v>1.53163</v>
      </c>
      <c r="I67" s="52">
        <v>39</v>
      </c>
      <c r="J67" s="52">
        <v>1.589</v>
      </c>
      <c r="K67" s="79">
        <v>1554</v>
      </c>
      <c r="L67" s="79">
        <v>647</v>
      </c>
      <c r="M67" s="57">
        <v>0</v>
      </c>
      <c r="N67" s="57">
        <v>0</v>
      </c>
      <c r="O67" s="57">
        <v>0</v>
      </c>
      <c r="P67" s="57">
        <v>0</v>
      </c>
      <c r="Q67" s="57">
        <v>0</v>
      </c>
      <c r="R67" s="57">
        <v>0.2937</v>
      </c>
      <c r="S67" s="57"/>
      <c r="T67" s="57"/>
      <c r="U67" s="57">
        <v>0.6333</v>
      </c>
      <c r="V67" s="57"/>
      <c r="W67" s="57">
        <f t="shared" si="4"/>
        <v>0.6333</v>
      </c>
      <c r="X67" s="57"/>
      <c r="Y67" s="57"/>
      <c r="Z67" s="57">
        <v>0.4813</v>
      </c>
      <c r="AA67" s="57"/>
      <c r="AB67" s="57">
        <f t="shared" si="2"/>
        <v>0.4813</v>
      </c>
      <c r="AC67" s="57">
        <v>0.42</v>
      </c>
      <c r="AD67" s="57">
        <v>0.47</v>
      </c>
      <c r="AE67" s="57">
        <v>0.72</v>
      </c>
      <c r="AF67" s="73"/>
      <c r="AG67" s="58">
        <f t="shared" si="3"/>
        <v>0</v>
      </c>
      <c r="AH67" s="73"/>
    </row>
    <row r="68" ht="14.25" spans="1:34">
      <c r="A68" s="76">
        <v>66</v>
      </c>
      <c r="B68" s="61" t="s">
        <v>891</v>
      </c>
      <c r="C68" s="62" t="s">
        <v>261</v>
      </c>
      <c r="D68" s="77" t="s">
        <v>916</v>
      </c>
      <c r="E68" s="57">
        <v>40</v>
      </c>
      <c r="F68" s="76">
        <v>1.724</v>
      </c>
      <c r="G68" s="57">
        <v>1.378</v>
      </c>
      <c r="H68" s="58">
        <f t="shared" si="5"/>
        <v>1.67228</v>
      </c>
      <c r="I68" s="76">
        <v>40</v>
      </c>
      <c r="J68" s="76">
        <v>1.6</v>
      </c>
      <c r="K68" s="79">
        <v>1655</v>
      </c>
      <c r="L68" s="79">
        <v>617</v>
      </c>
      <c r="M68" s="57">
        <v>0</v>
      </c>
      <c r="N68" s="57">
        <v>0</v>
      </c>
      <c r="O68" s="57">
        <v>0</v>
      </c>
      <c r="P68" s="57">
        <v>0</v>
      </c>
      <c r="Q68" s="57">
        <v>0</v>
      </c>
      <c r="R68" s="57">
        <v>0.2937</v>
      </c>
      <c r="S68" s="57"/>
      <c r="T68" s="57"/>
      <c r="U68" s="57">
        <v>0.6333</v>
      </c>
      <c r="V68" s="57"/>
      <c r="W68" s="57">
        <f t="shared" si="4"/>
        <v>0.6333</v>
      </c>
      <c r="X68" s="57"/>
      <c r="Y68" s="57"/>
      <c r="Z68" s="57">
        <v>0.4813</v>
      </c>
      <c r="AA68" s="57"/>
      <c r="AB68" s="57">
        <f t="shared" ref="AB68:AB131" si="6">IF(Y68="",Z68,Y68*0.4+Z68*0.6)</f>
        <v>0.4813</v>
      </c>
      <c r="AC68" s="57">
        <v>0.42</v>
      </c>
      <c r="AD68" s="57">
        <v>0.47</v>
      </c>
      <c r="AE68" s="57">
        <v>0.72</v>
      </c>
      <c r="AF68" s="80"/>
      <c r="AG68" s="58">
        <f t="shared" ref="AG68:AG131" si="7">1-(W68-AF68)/W68</f>
        <v>0</v>
      </c>
      <c r="AH68" s="80"/>
    </row>
    <row r="69" ht="14.25" spans="1:34">
      <c r="A69" s="76">
        <v>67</v>
      </c>
      <c r="B69" s="61" t="s">
        <v>891</v>
      </c>
      <c r="C69" s="62" t="s">
        <v>261</v>
      </c>
      <c r="D69" s="78" t="s">
        <v>917</v>
      </c>
      <c r="E69" s="57">
        <v>41</v>
      </c>
      <c r="F69" s="76">
        <v>1.648</v>
      </c>
      <c r="G69" s="57">
        <v>1.335</v>
      </c>
      <c r="H69" s="58">
        <f t="shared" si="5"/>
        <v>1.59856</v>
      </c>
      <c r="I69" s="76">
        <v>36</v>
      </c>
      <c r="J69" s="76">
        <v>1.543</v>
      </c>
      <c r="K69" s="79">
        <v>1587</v>
      </c>
      <c r="L69" s="79">
        <v>618</v>
      </c>
      <c r="M69" s="57">
        <v>0</v>
      </c>
      <c r="N69" s="57">
        <v>0</v>
      </c>
      <c r="O69" s="57">
        <v>0</v>
      </c>
      <c r="P69" s="57">
        <v>0</v>
      </c>
      <c r="Q69" s="57">
        <v>0</v>
      </c>
      <c r="R69" s="57">
        <v>0.2937</v>
      </c>
      <c r="S69" s="57"/>
      <c r="T69" s="57"/>
      <c r="U69" s="57">
        <v>0.6333</v>
      </c>
      <c r="V69" s="57"/>
      <c r="W69" s="57">
        <f t="shared" si="4"/>
        <v>0.6333</v>
      </c>
      <c r="X69" s="57"/>
      <c r="Y69" s="57"/>
      <c r="Z69" s="57">
        <v>0.4813</v>
      </c>
      <c r="AA69" s="57"/>
      <c r="AB69" s="57">
        <f t="shared" si="6"/>
        <v>0.4813</v>
      </c>
      <c r="AC69" s="57">
        <v>0.42</v>
      </c>
      <c r="AD69" s="57">
        <v>0.47</v>
      </c>
      <c r="AE69" s="57">
        <v>0.72</v>
      </c>
      <c r="AF69" s="80"/>
      <c r="AG69" s="58">
        <f t="shared" si="7"/>
        <v>0</v>
      </c>
      <c r="AH69" s="80"/>
    </row>
    <row r="70" ht="14.25" spans="1:34">
      <c r="A70" s="76">
        <v>68</v>
      </c>
      <c r="B70" s="61" t="s">
        <v>891</v>
      </c>
      <c r="C70" s="62" t="s">
        <v>261</v>
      </c>
      <c r="D70" s="77" t="s">
        <v>918</v>
      </c>
      <c r="E70" s="57">
        <v>42</v>
      </c>
      <c r="F70" s="76">
        <v>1.834</v>
      </c>
      <c r="G70" s="57">
        <v>1.429</v>
      </c>
      <c r="H70" s="58">
        <f t="shared" si="5"/>
        <v>1.77898</v>
      </c>
      <c r="I70" s="76">
        <v>41</v>
      </c>
      <c r="J70" s="76">
        <v>1.58</v>
      </c>
      <c r="K70" s="79">
        <v>1728</v>
      </c>
      <c r="L70" s="79">
        <v>573</v>
      </c>
      <c r="M70" s="57">
        <v>0</v>
      </c>
      <c r="N70" s="57">
        <v>0</v>
      </c>
      <c r="O70" s="57">
        <v>0</v>
      </c>
      <c r="P70" s="57">
        <v>0</v>
      </c>
      <c r="Q70" s="57">
        <v>0</v>
      </c>
      <c r="R70" s="57">
        <v>0.2937</v>
      </c>
      <c r="S70" s="57"/>
      <c r="T70" s="57"/>
      <c r="U70" s="57">
        <v>0.6333</v>
      </c>
      <c r="V70" s="57"/>
      <c r="W70" s="57">
        <f t="shared" si="4"/>
        <v>0.6333</v>
      </c>
      <c r="X70" s="57"/>
      <c r="Y70" s="57"/>
      <c r="Z70" s="57">
        <v>0.4813</v>
      </c>
      <c r="AA70" s="57"/>
      <c r="AB70" s="57">
        <f t="shared" si="6"/>
        <v>0.4813</v>
      </c>
      <c r="AC70" s="57">
        <v>0.42</v>
      </c>
      <c r="AD70" s="57">
        <v>0.47</v>
      </c>
      <c r="AE70" s="57">
        <v>0.72</v>
      </c>
      <c r="AF70" s="80"/>
      <c r="AG70" s="58">
        <f t="shared" si="7"/>
        <v>0</v>
      </c>
      <c r="AH70" s="80"/>
    </row>
    <row r="71" ht="14.25" spans="1:34">
      <c r="A71" s="76">
        <v>69</v>
      </c>
      <c r="B71" s="61" t="s">
        <v>891</v>
      </c>
      <c r="C71" s="62" t="s">
        <v>261</v>
      </c>
      <c r="D71" s="77" t="s">
        <v>919</v>
      </c>
      <c r="E71" s="57">
        <v>40</v>
      </c>
      <c r="F71" s="76">
        <v>1.66</v>
      </c>
      <c r="G71" s="57">
        <v>1.343</v>
      </c>
      <c r="H71" s="58">
        <f t="shared" si="5"/>
        <v>1.6102</v>
      </c>
      <c r="I71" s="76">
        <v>40</v>
      </c>
      <c r="J71" s="76">
        <v>1.574</v>
      </c>
      <c r="K71" s="79">
        <v>1591</v>
      </c>
      <c r="L71" s="79">
        <v>590</v>
      </c>
      <c r="M71" s="57">
        <v>0</v>
      </c>
      <c r="N71" s="57">
        <v>0</v>
      </c>
      <c r="O71" s="57">
        <v>0</v>
      </c>
      <c r="P71" s="57">
        <v>0</v>
      </c>
      <c r="Q71" s="57">
        <v>0</v>
      </c>
      <c r="R71" s="57">
        <v>0.2937</v>
      </c>
      <c r="S71" s="57"/>
      <c r="T71" s="57"/>
      <c r="U71" s="57">
        <v>0.6333</v>
      </c>
      <c r="V71" s="57"/>
      <c r="W71" s="57">
        <f t="shared" si="4"/>
        <v>0.6333</v>
      </c>
      <c r="X71" s="57"/>
      <c r="Y71" s="57"/>
      <c r="Z71" s="57">
        <v>0.4813</v>
      </c>
      <c r="AA71" s="57"/>
      <c r="AB71" s="57">
        <f t="shared" si="6"/>
        <v>0.4813</v>
      </c>
      <c r="AC71" s="57">
        <v>0.42</v>
      </c>
      <c r="AD71" s="57">
        <v>0.47</v>
      </c>
      <c r="AE71" s="57">
        <v>0.72</v>
      </c>
      <c r="AF71" s="80"/>
      <c r="AG71" s="58">
        <f t="shared" si="7"/>
        <v>0</v>
      </c>
      <c r="AH71" s="80"/>
    </row>
    <row r="72" ht="14.25" spans="1:34">
      <c r="A72" s="76">
        <v>70</v>
      </c>
      <c r="B72" s="61" t="s">
        <v>891</v>
      </c>
      <c r="C72" s="62" t="s">
        <v>261</v>
      </c>
      <c r="D72" s="77" t="s">
        <v>920</v>
      </c>
      <c r="E72" s="57">
        <v>40</v>
      </c>
      <c r="F72" s="76">
        <v>1.537</v>
      </c>
      <c r="G72" s="57">
        <v>1.245</v>
      </c>
      <c r="H72" s="58">
        <f t="shared" si="5"/>
        <v>1.49089</v>
      </c>
      <c r="I72" s="76">
        <v>41</v>
      </c>
      <c r="J72" s="76">
        <v>1.543</v>
      </c>
      <c r="K72" s="79">
        <v>1505</v>
      </c>
      <c r="L72" s="79">
        <v>658</v>
      </c>
      <c r="M72" s="57">
        <v>0</v>
      </c>
      <c r="N72" s="57">
        <v>0</v>
      </c>
      <c r="O72" s="57">
        <v>0</v>
      </c>
      <c r="P72" s="57">
        <v>0</v>
      </c>
      <c r="Q72" s="57">
        <v>0</v>
      </c>
      <c r="R72" s="57">
        <v>0.3068</v>
      </c>
      <c r="S72" s="73"/>
      <c r="T72" s="73"/>
      <c r="U72" s="57">
        <v>0.79</v>
      </c>
      <c r="V72" s="73"/>
      <c r="W72" s="57">
        <f t="shared" si="4"/>
        <v>0.79</v>
      </c>
      <c r="X72" s="73"/>
      <c r="Y72" s="73"/>
      <c r="Z72" s="57">
        <v>0.51</v>
      </c>
      <c r="AA72" s="73"/>
      <c r="AB72" s="57">
        <f t="shared" si="6"/>
        <v>0.51</v>
      </c>
      <c r="AC72" s="57">
        <v>0.49</v>
      </c>
      <c r="AD72" s="57">
        <v>0.54</v>
      </c>
      <c r="AE72" s="57">
        <v>0.79</v>
      </c>
      <c r="AF72" s="80"/>
      <c r="AG72" s="58">
        <f t="shared" si="7"/>
        <v>0</v>
      </c>
      <c r="AH72" s="80"/>
    </row>
    <row r="73" ht="14.25" spans="1:34">
      <c r="A73" s="76">
        <v>71</v>
      </c>
      <c r="B73" s="61" t="s">
        <v>891</v>
      </c>
      <c r="C73" s="62" t="s">
        <v>261</v>
      </c>
      <c r="D73" s="77" t="s">
        <v>565</v>
      </c>
      <c r="E73" s="57">
        <v>42</v>
      </c>
      <c r="F73" s="76">
        <v>1.54</v>
      </c>
      <c r="G73" s="57">
        <v>1.208</v>
      </c>
      <c r="H73" s="58">
        <f t="shared" si="5"/>
        <v>1.4938</v>
      </c>
      <c r="I73" s="76">
        <v>44</v>
      </c>
      <c r="J73" s="76">
        <v>1.569</v>
      </c>
      <c r="K73" s="79">
        <v>1451</v>
      </c>
      <c r="L73" s="79">
        <v>651</v>
      </c>
      <c r="M73" s="57">
        <v>0</v>
      </c>
      <c r="N73" s="57">
        <v>0</v>
      </c>
      <c r="O73" s="57">
        <v>0</v>
      </c>
      <c r="P73" s="57">
        <v>0</v>
      </c>
      <c r="Q73" s="57">
        <v>0</v>
      </c>
      <c r="R73" s="57">
        <v>0.3068</v>
      </c>
      <c r="S73" s="73"/>
      <c r="T73" s="73"/>
      <c r="U73" s="57">
        <v>0.79</v>
      </c>
      <c r="V73" s="73"/>
      <c r="W73" s="57">
        <f t="shared" si="4"/>
        <v>0.79</v>
      </c>
      <c r="X73" s="73"/>
      <c r="Y73" s="73"/>
      <c r="Z73" s="57">
        <v>0.51</v>
      </c>
      <c r="AA73" s="73"/>
      <c r="AB73" s="57">
        <f t="shared" si="6"/>
        <v>0.51</v>
      </c>
      <c r="AC73" s="57">
        <v>0.49</v>
      </c>
      <c r="AD73" s="57">
        <v>0.54</v>
      </c>
      <c r="AE73" s="57">
        <v>0.79</v>
      </c>
      <c r="AF73" s="80"/>
      <c r="AG73" s="58">
        <f t="shared" si="7"/>
        <v>0</v>
      </c>
      <c r="AH73" s="80"/>
    </row>
    <row r="74" ht="14.25" spans="1:34">
      <c r="A74" s="76">
        <v>72</v>
      </c>
      <c r="B74" s="61" t="s">
        <v>891</v>
      </c>
      <c r="C74" s="62" t="s">
        <v>261</v>
      </c>
      <c r="D74" s="77" t="s">
        <v>921</v>
      </c>
      <c r="E74" s="57">
        <v>47</v>
      </c>
      <c r="F74" s="76">
        <v>1.596</v>
      </c>
      <c r="G74" s="57">
        <v>1.149</v>
      </c>
      <c r="H74" s="58">
        <f t="shared" si="5"/>
        <v>1.54812</v>
      </c>
      <c r="I74" s="76">
        <v>47</v>
      </c>
      <c r="J74" s="76">
        <v>1.439</v>
      </c>
      <c r="K74" s="79">
        <v>1362</v>
      </c>
      <c r="L74" s="79">
        <v>553</v>
      </c>
      <c r="M74" s="57">
        <v>0</v>
      </c>
      <c r="N74" s="57">
        <v>0</v>
      </c>
      <c r="O74" s="57">
        <v>0</v>
      </c>
      <c r="P74" s="57">
        <v>0</v>
      </c>
      <c r="Q74" s="57">
        <v>0</v>
      </c>
      <c r="R74" s="57">
        <v>0.3068</v>
      </c>
      <c r="S74" s="73"/>
      <c r="T74" s="73"/>
      <c r="U74" s="57">
        <v>0.79</v>
      </c>
      <c r="V74" s="73"/>
      <c r="W74" s="57">
        <f t="shared" si="4"/>
        <v>0.79</v>
      </c>
      <c r="X74" s="73"/>
      <c r="Y74" s="73"/>
      <c r="Z74" s="57">
        <v>0.51</v>
      </c>
      <c r="AA74" s="73"/>
      <c r="AB74" s="57">
        <f t="shared" si="6"/>
        <v>0.51</v>
      </c>
      <c r="AC74" s="57">
        <v>0.49</v>
      </c>
      <c r="AD74" s="57">
        <v>0.54</v>
      </c>
      <c r="AE74" s="57">
        <v>0.79</v>
      </c>
      <c r="AF74" s="80"/>
      <c r="AG74" s="58">
        <f t="shared" si="7"/>
        <v>0</v>
      </c>
      <c r="AH74" s="80"/>
    </row>
    <row r="75" ht="14.25" spans="1:34">
      <c r="A75" s="76">
        <v>73</v>
      </c>
      <c r="B75" s="61" t="s">
        <v>891</v>
      </c>
      <c r="C75" s="62" t="s">
        <v>261</v>
      </c>
      <c r="D75" s="77" t="s">
        <v>922</v>
      </c>
      <c r="E75" s="57">
        <v>45</v>
      </c>
      <c r="F75" s="76">
        <v>1.653</v>
      </c>
      <c r="G75" s="57">
        <v>1.243</v>
      </c>
      <c r="H75" s="58">
        <f t="shared" si="5"/>
        <v>1.60341</v>
      </c>
      <c r="I75" s="76">
        <v>46</v>
      </c>
      <c r="J75" s="76">
        <v>1.499</v>
      </c>
      <c r="K75" s="79">
        <v>1493</v>
      </c>
      <c r="L75" s="79">
        <v>553</v>
      </c>
      <c r="M75" s="57">
        <v>0</v>
      </c>
      <c r="N75" s="57">
        <v>0</v>
      </c>
      <c r="O75" s="57">
        <v>0</v>
      </c>
      <c r="P75" s="57">
        <v>0</v>
      </c>
      <c r="Q75" s="57">
        <v>0</v>
      </c>
      <c r="R75" s="57">
        <v>0.3068</v>
      </c>
      <c r="S75" s="73"/>
      <c r="T75" s="73"/>
      <c r="U75" s="57">
        <v>0.79</v>
      </c>
      <c r="V75" s="73"/>
      <c r="W75" s="57">
        <f t="shared" si="4"/>
        <v>0.79</v>
      </c>
      <c r="X75" s="73"/>
      <c r="Y75" s="73"/>
      <c r="Z75" s="57">
        <v>0.51</v>
      </c>
      <c r="AA75" s="73"/>
      <c r="AB75" s="57">
        <f t="shared" si="6"/>
        <v>0.51</v>
      </c>
      <c r="AC75" s="57">
        <v>0.49</v>
      </c>
      <c r="AD75" s="57">
        <v>0.54</v>
      </c>
      <c r="AE75" s="57">
        <v>0.79</v>
      </c>
      <c r="AF75" s="80"/>
      <c r="AG75" s="58">
        <f t="shared" si="7"/>
        <v>0</v>
      </c>
      <c r="AH75" s="80"/>
    </row>
    <row r="76" ht="14.25" spans="1:34">
      <c r="A76" s="76">
        <v>74</v>
      </c>
      <c r="B76" s="61" t="s">
        <v>891</v>
      </c>
      <c r="C76" s="62" t="s">
        <v>261</v>
      </c>
      <c r="D76" s="78" t="s">
        <v>923</v>
      </c>
      <c r="E76" s="57">
        <v>45</v>
      </c>
      <c r="F76" s="76">
        <v>1.875</v>
      </c>
      <c r="G76" s="57">
        <v>1.291</v>
      </c>
      <c r="H76" s="58">
        <v>1.63057</v>
      </c>
      <c r="I76" s="78">
        <v>43</v>
      </c>
      <c r="J76" s="78">
        <v>1.548</v>
      </c>
      <c r="K76" s="79">
        <v>1529</v>
      </c>
      <c r="L76" s="79">
        <v>566</v>
      </c>
      <c r="M76" s="57">
        <v>0</v>
      </c>
      <c r="N76" s="57">
        <v>0</v>
      </c>
      <c r="O76" s="57">
        <v>0</v>
      </c>
      <c r="P76" s="57">
        <v>0</v>
      </c>
      <c r="Q76" s="57">
        <v>0</v>
      </c>
      <c r="R76" s="57">
        <v>0.3068</v>
      </c>
      <c r="S76" s="73"/>
      <c r="T76" s="73"/>
      <c r="U76" s="57">
        <v>0.79</v>
      </c>
      <c r="V76" s="73"/>
      <c r="W76" s="57">
        <f t="shared" si="4"/>
        <v>0.79</v>
      </c>
      <c r="X76" s="73"/>
      <c r="Y76" s="73"/>
      <c r="Z76" s="57">
        <v>0.51</v>
      </c>
      <c r="AA76" s="73"/>
      <c r="AB76" s="57">
        <f t="shared" si="6"/>
        <v>0.51</v>
      </c>
      <c r="AC76" s="57">
        <v>0.49</v>
      </c>
      <c r="AD76" s="57">
        <v>0.54</v>
      </c>
      <c r="AE76" s="57">
        <v>0.79</v>
      </c>
      <c r="AF76" s="80"/>
      <c r="AG76" s="58">
        <f t="shared" si="7"/>
        <v>0</v>
      </c>
      <c r="AH76" s="80"/>
    </row>
    <row r="77" ht="14.25" spans="1:34">
      <c r="A77" s="76">
        <v>75</v>
      </c>
      <c r="B77" s="61" t="s">
        <v>924</v>
      </c>
      <c r="C77" s="62" t="s">
        <v>471</v>
      </c>
      <c r="D77" s="65" t="s">
        <v>603</v>
      </c>
      <c r="E77" s="57">
        <v>30</v>
      </c>
      <c r="F77" s="63">
        <v>1.155</v>
      </c>
      <c r="G77" s="57">
        <v>1.045</v>
      </c>
      <c r="H77" s="58">
        <f t="shared" ref="H77:H140" si="8">F77*0.97</f>
        <v>1.12035</v>
      </c>
      <c r="I77" s="52">
        <v>29</v>
      </c>
      <c r="J77" s="52">
        <v>1.22</v>
      </c>
      <c r="K77" s="56">
        <v>1334</v>
      </c>
      <c r="L77" s="56">
        <v>829</v>
      </c>
      <c r="M77" s="57">
        <v>0</v>
      </c>
      <c r="N77" s="57">
        <v>0</v>
      </c>
      <c r="O77" s="57">
        <v>0</v>
      </c>
      <c r="P77" s="57">
        <v>0</v>
      </c>
      <c r="Q77" s="57">
        <v>0</v>
      </c>
      <c r="R77" s="57">
        <v>0.3997</v>
      </c>
      <c r="S77" s="57"/>
      <c r="T77" s="57"/>
      <c r="U77" s="57">
        <v>0.7912</v>
      </c>
      <c r="V77" s="57"/>
      <c r="W77" s="57">
        <f t="shared" si="4"/>
        <v>0.7912</v>
      </c>
      <c r="X77" s="57"/>
      <c r="Y77" s="57"/>
      <c r="Z77" s="57">
        <v>0.6292</v>
      </c>
      <c r="AA77" s="57"/>
      <c r="AB77" s="57">
        <f t="shared" si="6"/>
        <v>0.6292</v>
      </c>
      <c r="AC77" s="57">
        <v>0.521</v>
      </c>
      <c r="AD77" s="57"/>
      <c r="AE77" s="57"/>
      <c r="AF77" s="58">
        <v>0.83</v>
      </c>
      <c r="AG77" s="58">
        <f t="shared" si="7"/>
        <v>1.04903943377149</v>
      </c>
      <c r="AH77" s="58">
        <v>0.79</v>
      </c>
    </row>
    <row r="78" ht="14.25" spans="1:34">
      <c r="A78" s="52">
        <v>76</v>
      </c>
      <c r="B78" s="61" t="s">
        <v>924</v>
      </c>
      <c r="C78" s="62" t="s">
        <v>471</v>
      </c>
      <c r="D78" s="64" t="s">
        <v>925</v>
      </c>
      <c r="E78" s="57">
        <v>28</v>
      </c>
      <c r="F78" s="52">
        <v>1.149</v>
      </c>
      <c r="G78" s="57">
        <v>1.08</v>
      </c>
      <c r="H78" s="58">
        <f t="shared" si="8"/>
        <v>1.11453</v>
      </c>
      <c r="I78" s="52">
        <v>32</v>
      </c>
      <c r="J78" s="52">
        <v>1.309</v>
      </c>
      <c r="K78" s="56">
        <v>1325</v>
      </c>
      <c r="L78" s="56">
        <v>832</v>
      </c>
      <c r="M78" s="57">
        <v>0</v>
      </c>
      <c r="N78" s="57">
        <v>0</v>
      </c>
      <c r="O78" s="57">
        <v>0</v>
      </c>
      <c r="P78" s="57">
        <v>0</v>
      </c>
      <c r="Q78" s="57">
        <v>0</v>
      </c>
      <c r="R78" s="57">
        <v>0.3997</v>
      </c>
      <c r="S78" s="57"/>
      <c r="T78" s="57"/>
      <c r="U78" s="57">
        <v>0.7912</v>
      </c>
      <c r="V78" s="57"/>
      <c r="W78" s="57">
        <f t="shared" si="4"/>
        <v>0.7912</v>
      </c>
      <c r="X78" s="57"/>
      <c r="Y78" s="57"/>
      <c r="Z78" s="57">
        <v>0.6292</v>
      </c>
      <c r="AA78" s="57"/>
      <c r="AB78" s="57">
        <f t="shared" si="6"/>
        <v>0.6292</v>
      </c>
      <c r="AC78" s="57">
        <v>0.521</v>
      </c>
      <c r="AD78" s="57"/>
      <c r="AE78" s="57"/>
      <c r="AF78" s="73"/>
      <c r="AG78" s="58">
        <f t="shared" si="7"/>
        <v>0</v>
      </c>
      <c r="AH78" s="73"/>
    </row>
    <row r="79" ht="14.25" spans="1:34">
      <c r="A79" s="57">
        <v>77</v>
      </c>
      <c r="B79" s="61" t="s">
        <v>924</v>
      </c>
      <c r="C79" s="62" t="s">
        <v>471</v>
      </c>
      <c r="D79" s="56" t="s">
        <v>926</v>
      </c>
      <c r="E79" s="57">
        <v>28</v>
      </c>
      <c r="F79" s="57">
        <v>1.174</v>
      </c>
      <c r="G79" s="57">
        <v>1.068</v>
      </c>
      <c r="H79" s="58">
        <f t="shared" si="8"/>
        <v>1.13878</v>
      </c>
      <c r="I79" s="57">
        <v>31</v>
      </c>
      <c r="J79" s="57">
        <v>1.315</v>
      </c>
      <c r="K79" s="56">
        <v>1316</v>
      </c>
      <c r="L79" s="56">
        <v>813</v>
      </c>
      <c r="M79" s="67">
        <v>0.1</v>
      </c>
      <c r="N79" s="57">
        <v>0</v>
      </c>
      <c r="O79" s="57">
        <v>0</v>
      </c>
      <c r="P79" s="57">
        <v>0</v>
      </c>
      <c r="Q79" s="57">
        <v>0</v>
      </c>
      <c r="R79" s="57">
        <v>0.3997</v>
      </c>
      <c r="S79" s="57"/>
      <c r="T79" s="57"/>
      <c r="U79" s="57">
        <v>0.7912</v>
      </c>
      <c r="V79" s="57"/>
      <c r="W79" s="57">
        <f t="shared" si="4"/>
        <v>0.7912</v>
      </c>
      <c r="X79" s="57"/>
      <c r="Y79" s="57"/>
      <c r="Z79" s="57">
        <v>0.6292</v>
      </c>
      <c r="AA79" s="57"/>
      <c r="AB79" s="57">
        <f t="shared" si="6"/>
        <v>0.6292</v>
      </c>
      <c r="AC79" s="57">
        <v>0.521</v>
      </c>
      <c r="AD79" s="57"/>
      <c r="AE79" s="57"/>
      <c r="AF79" s="58">
        <v>0.81</v>
      </c>
      <c r="AG79" s="58">
        <f t="shared" si="7"/>
        <v>1.02376137512639</v>
      </c>
      <c r="AH79" s="58">
        <v>0.76</v>
      </c>
    </row>
    <row r="80" ht="14.25" spans="1:34">
      <c r="A80" s="52">
        <v>78</v>
      </c>
      <c r="B80" s="61" t="s">
        <v>924</v>
      </c>
      <c r="C80" s="62" t="s">
        <v>471</v>
      </c>
      <c r="D80" s="64" t="s">
        <v>927</v>
      </c>
      <c r="E80" s="57">
        <v>28</v>
      </c>
      <c r="F80" s="52">
        <v>1.218</v>
      </c>
      <c r="G80" s="57">
        <v>1.096</v>
      </c>
      <c r="H80" s="58">
        <f t="shared" si="8"/>
        <v>1.18146</v>
      </c>
      <c r="I80" s="52">
        <v>33</v>
      </c>
      <c r="J80" s="52">
        <v>1.349</v>
      </c>
      <c r="K80" s="56">
        <v>1352</v>
      </c>
      <c r="L80" s="56">
        <v>800</v>
      </c>
      <c r="M80" s="57">
        <v>0</v>
      </c>
      <c r="N80" s="57">
        <v>0</v>
      </c>
      <c r="O80" s="57">
        <v>0</v>
      </c>
      <c r="P80" s="57">
        <v>0</v>
      </c>
      <c r="Q80" s="57">
        <v>0</v>
      </c>
      <c r="R80" s="57">
        <v>0.3997</v>
      </c>
      <c r="S80" s="57"/>
      <c r="T80" s="57"/>
      <c r="U80" s="57">
        <v>0.7912</v>
      </c>
      <c r="V80" s="57"/>
      <c r="W80" s="57">
        <f t="shared" si="4"/>
        <v>0.7912</v>
      </c>
      <c r="X80" s="57"/>
      <c r="Y80" s="57"/>
      <c r="Z80" s="57">
        <v>0.6292</v>
      </c>
      <c r="AA80" s="57"/>
      <c r="AB80" s="57">
        <f t="shared" si="6"/>
        <v>0.6292</v>
      </c>
      <c r="AC80" s="57">
        <v>0.521</v>
      </c>
      <c r="AD80" s="57"/>
      <c r="AE80" s="57"/>
      <c r="AF80" s="73"/>
      <c r="AG80" s="58">
        <f t="shared" si="7"/>
        <v>0</v>
      </c>
      <c r="AH80" s="73"/>
    </row>
    <row r="81" ht="14.25" spans="1:34">
      <c r="A81" s="52">
        <v>79</v>
      </c>
      <c r="B81" s="61" t="s">
        <v>924</v>
      </c>
      <c r="C81" s="62" t="s">
        <v>471</v>
      </c>
      <c r="D81" s="64" t="s">
        <v>928</v>
      </c>
      <c r="E81" s="57">
        <v>24</v>
      </c>
      <c r="F81" s="52">
        <v>1.084</v>
      </c>
      <c r="G81" s="57">
        <v>1.009</v>
      </c>
      <c r="H81" s="58">
        <f t="shared" si="8"/>
        <v>1.05148</v>
      </c>
      <c r="I81" s="52">
        <v>30</v>
      </c>
      <c r="J81" s="52">
        <v>1.234</v>
      </c>
      <c r="K81" s="56">
        <v>1250</v>
      </c>
      <c r="L81" s="56">
        <v>834</v>
      </c>
      <c r="M81" s="57">
        <v>0</v>
      </c>
      <c r="N81" s="57">
        <v>0</v>
      </c>
      <c r="O81" s="57">
        <v>0</v>
      </c>
      <c r="P81" s="57">
        <v>0</v>
      </c>
      <c r="Q81" s="57">
        <v>0</v>
      </c>
      <c r="R81" s="57">
        <v>0.3997</v>
      </c>
      <c r="S81" s="57"/>
      <c r="T81" s="57"/>
      <c r="U81" s="57">
        <v>0.7912</v>
      </c>
      <c r="V81" s="57"/>
      <c r="W81" s="57">
        <f t="shared" si="4"/>
        <v>0.7912</v>
      </c>
      <c r="X81" s="57"/>
      <c r="Y81" s="57"/>
      <c r="Z81" s="57">
        <v>0.6292</v>
      </c>
      <c r="AA81" s="57"/>
      <c r="AB81" s="57">
        <f t="shared" si="6"/>
        <v>0.6292</v>
      </c>
      <c r="AC81" s="57">
        <v>0.521</v>
      </c>
      <c r="AD81" s="57"/>
      <c r="AE81" s="57"/>
      <c r="AF81" s="73"/>
      <c r="AG81" s="58">
        <f t="shared" si="7"/>
        <v>0</v>
      </c>
      <c r="AH81" s="73"/>
    </row>
    <row r="82" ht="14.25" spans="1:34">
      <c r="A82" s="52">
        <v>80</v>
      </c>
      <c r="B82" s="61" t="s">
        <v>924</v>
      </c>
      <c r="C82" s="62" t="s">
        <v>471</v>
      </c>
      <c r="D82" s="64" t="s">
        <v>929</v>
      </c>
      <c r="E82" s="57">
        <v>31</v>
      </c>
      <c r="F82" s="52">
        <v>1.238</v>
      </c>
      <c r="G82" s="57">
        <v>1.105</v>
      </c>
      <c r="H82" s="58">
        <f t="shared" si="8"/>
        <v>1.20086</v>
      </c>
      <c r="I82" s="52">
        <v>33</v>
      </c>
      <c r="J82" s="52">
        <v>1.364</v>
      </c>
      <c r="K82" s="56">
        <v>1351</v>
      </c>
      <c r="L82" s="56">
        <v>815</v>
      </c>
      <c r="M82" s="57">
        <v>0</v>
      </c>
      <c r="N82" s="57">
        <v>0</v>
      </c>
      <c r="O82" s="57">
        <v>0</v>
      </c>
      <c r="P82" s="57">
        <v>0</v>
      </c>
      <c r="Q82" s="57">
        <v>0</v>
      </c>
      <c r="R82" s="57">
        <v>0.3997</v>
      </c>
      <c r="S82" s="57"/>
      <c r="T82" s="57"/>
      <c r="U82" s="57">
        <v>0.7912</v>
      </c>
      <c r="V82" s="57"/>
      <c r="W82" s="57">
        <f t="shared" si="4"/>
        <v>0.7912</v>
      </c>
      <c r="X82" s="57"/>
      <c r="Y82" s="57"/>
      <c r="Z82" s="57">
        <v>0.6292</v>
      </c>
      <c r="AA82" s="57"/>
      <c r="AB82" s="57">
        <f t="shared" si="6"/>
        <v>0.6292</v>
      </c>
      <c r="AC82" s="57">
        <v>0.521</v>
      </c>
      <c r="AD82" s="57"/>
      <c r="AE82" s="57"/>
      <c r="AF82" s="73"/>
      <c r="AG82" s="58">
        <f t="shared" si="7"/>
        <v>0</v>
      </c>
      <c r="AH82" s="73"/>
    </row>
    <row r="83" ht="14.25" spans="1:34">
      <c r="A83" s="52">
        <v>81</v>
      </c>
      <c r="B83" s="61" t="s">
        <v>924</v>
      </c>
      <c r="C83" s="62" t="s">
        <v>471</v>
      </c>
      <c r="D83" s="64" t="s">
        <v>930</v>
      </c>
      <c r="E83" s="57">
        <v>29</v>
      </c>
      <c r="F83" s="52">
        <v>1.194</v>
      </c>
      <c r="G83" s="57">
        <v>1.081</v>
      </c>
      <c r="H83" s="58">
        <f t="shared" si="8"/>
        <v>1.15818</v>
      </c>
      <c r="I83" s="52">
        <v>33</v>
      </c>
      <c r="J83" s="52">
        <v>1.349</v>
      </c>
      <c r="K83" s="56">
        <v>1331</v>
      </c>
      <c r="L83" s="56">
        <v>810</v>
      </c>
      <c r="M83" s="57">
        <v>0</v>
      </c>
      <c r="N83" s="57">
        <v>0</v>
      </c>
      <c r="O83" s="57">
        <v>0</v>
      </c>
      <c r="P83" s="57">
        <v>0</v>
      </c>
      <c r="Q83" s="57">
        <v>0</v>
      </c>
      <c r="R83" s="57">
        <v>0.3997</v>
      </c>
      <c r="S83" s="57"/>
      <c r="T83" s="57"/>
      <c r="U83" s="57">
        <v>0.7912</v>
      </c>
      <c r="V83" s="57"/>
      <c r="W83" s="57">
        <f t="shared" si="4"/>
        <v>0.7912</v>
      </c>
      <c r="X83" s="57"/>
      <c r="Y83" s="57"/>
      <c r="Z83" s="57">
        <v>0.6292</v>
      </c>
      <c r="AA83" s="57"/>
      <c r="AB83" s="57">
        <f t="shared" si="6"/>
        <v>0.6292</v>
      </c>
      <c r="AC83" s="57">
        <v>0.521</v>
      </c>
      <c r="AD83" s="57"/>
      <c r="AE83" s="57"/>
      <c r="AF83" s="73"/>
      <c r="AG83" s="58">
        <f t="shared" si="7"/>
        <v>0</v>
      </c>
      <c r="AH83" s="73"/>
    </row>
    <row r="84" ht="14.25" spans="1:34">
      <c r="A84" s="52">
        <v>82</v>
      </c>
      <c r="B84" s="61" t="s">
        <v>924</v>
      </c>
      <c r="C84" s="62" t="s">
        <v>471</v>
      </c>
      <c r="D84" s="64" t="s">
        <v>931</v>
      </c>
      <c r="E84" s="57">
        <v>30</v>
      </c>
      <c r="F84" s="52">
        <v>1.217</v>
      </c>
      <c r="G84" s="57">
        <v>1.09</v>
      </c>
      <c r="H84" s="58">
        <f t="shared" si="8"/>
        <v>1.18049</v>
      </c>
      <c r="I84" s="52">
        <v>30</v>
      </c>
      <c r="J84" s="52">
        <v>1.246</v>
      </c>
      <c r="K84" s="56">
        <v>1340</v>
      </c>
      <c r="L84" s="56">
        <v>827</v>
      </c>
      <c r="M84" s="57">
        <v>0</v>
      </c>
      <c r="N84" s="57">
        <v>0</v>
      </c>
      <c r="O84" s="57">
        <v>0</v>
      </c>
      <c r="P84" s="57">
        <v>0</v>
      </c>
      <c r="Q84" s="57">
        <v>0</v>
      </c>
      <c r="R84" s="57">
        <v>0.3997</v>
      </c>
      <c r="S84" s="57"/>
      <c r="T84" s="57"/>
      <c r="U84" s="57">
        <v>0.7912</v>
      </c>
      <c r="V84" s="57"/>
      <c r="W84" s="57">
        <f t="shared" ref="W84:W147" si="9">IF(T84="",U84,T84*40%+U84*60%)</f>
        <v>0.7912</v>
      </c>
      <c r="X84" s="57"/>
      <c r="Y84" s="57"/>
      <c r="Z84" s="57">
        <v>0.6292</v>
      </c>
      <c r="AA84" s="57"/>
      <c r="AB84" s="57">
        <f t="shared" si="6"/>
        <v>0.6292</v>
      </c>
      <c r="AC84" s="57">
        <v>0.521</v>
      </c>
      <c r="AD84" s="57"/>
      <c r="AE84" s="57"/>
      <c r="AF84" s="73"/>
      <c r="AG84" s="58">
        <f t="shared" si="7"/>
        <v>0</v>
      </c>
      <c r="AH84" s="73"/>
    </row>
    <row r="85" ht="14.25" spans="1:34">
      <c r="A85" s="52">
        <v>83</v>
      </c>
      <c r="B85" s="61" t="s">
        <v>924</v>
      </c>
      <c r="C85" s="62" t="s">
        <v>471</v>
      </c>
      <c r="D85" s="64" t="s">
        <v>932</v>
      </c>
      <c r="E85" s="57">
        <v>28</v>
      </c>
      <c r="F85" s="52">
        <v>1.169</v>
      </c>
      <c r="G85" s="57">
        <v>1.063</v>
      </c>
      <c r="H85" s="58">
        <f t="shared" si="8"/>
        <v>1.13393</v>
      </c>
      <c r="I85" s="52">
        <v>33</v>
      </c>
      <c r="J85" s="52">
        <v>1.349</v>
      </c>
      <c r="K85" s="56">
        <v>1307</v>
      </c>
      <c r="L85" s="56">
        <v>820</v>
      </c>
      <c r="M85" s="57">
        <v>0</v>
      </c>
      <c r="N85" s="57">
        <v>0</v>
      </c>
      <c r="O85" s="57">
        <v>0</v>
      </c>
      <c r="P85" s="57">
        <v>0</v>
      </c>
      <c r="Q85" s="57">
        <v>0</v>
      </c>
      <c r="R85" s="57">
        <v>0.3997</v>
      </c>
      <c r="S85" s="57"/>
      <c r="T85" s="57"/>
      <c r="U85" s="57">
        <v>0.7912</v>
      </c>
      <c r="V85" s="57"/>
      <c r="W85" s="57">
        <f t="shared" si="9"/>
        <v>0.7912</v>
      </c>
      <c r="X85" s="57"/>
      <c r="Y85" s="57"/>
      <c r="Z85" s="57">
        <v>0.6292</v>
      </c>
      <c r="AA85" s="57"/>
      <c r="AB85" s="57">
        <f t="shared" si="6"/>
        <v>0.6292</v>
      </c>
      <c r="AC85" s="57">
        <v>0.521</v>
      </c>
      <c r="AD85" s="57"/>
      <c r="AE85" s="57"/>
      <c r="AF85" s="73"/>
      <c r="AG85" s="58">
        <f t="shared" si="7"/>
        <v>0</v>
      </c>
      <c r="AH85" s="73"/>
    </row>
    <row r="86" ht="14.25" spans="1:34">
      <c r="A86" s="52">
        <v>84</v>
      </c>
      <c r="B86" s="61" t="s">
        <v>924</v>
      </c>
      <c r="C86" s="62" t="s">
        <v>471</v>
      </c>
      <c r="D86" s="64" t="s">
        <v>933</v>
      </c>
      <c r="E86" s="57">
        <v>28</v>
      </c>
      <c r="F86" s="52">
        <v>1.151</v>
      </c>
      <c r="G86" s="57">
        <v>1.052</v>
      </c>
      <c r="H86" s="58">
        <f t="shared" si="8"/>
        <v>1.11647</v>
      </c>
      <c r="I86" s="52">
        <v>31</v>
      </c>
      <c r="J86" s="52">
        <v>1.315</v>
      </c>
      <c r="K86" s="56">
        <v>1295</v>
      </c>
      <c r="L86" s="56">
        <v>816</v>
      </c>
      <c r="M86" s="57">
        <v>0</v>
      </c>
      <c r="N86" s="57">
        <v>0</v>
      </c>
      <c r="O86" s="57">
        <v>0</v>
      </c>
      <c r="P86" s="57">
        <v>0</v>
      </c>
      <c r="Q86" s="57">
        <v>0</v>
      </c>
      <c r="R86" s="57">
        <v>0.3997</v>
      </c>
      <c r="S86" s="57"/>
      <c r="T86" s="57"/>
      <c r="U86" s="57">
        <v>0.7912</v>
      </c>
      <c r="V86" s="57"/>
      <c r="W86" s="57">
        <f t="shared" si="9"/>
        <v>0.7912</v>
      </c>
      <c r="X86" s="57"/>
      <c r="Y86" s="57"/>
      <c r="Z86" s="57">
        <v>0.6292</v>
      </c>
      <c r="AA86" s="57"/>
      <c r="AB86" s="57">
        <f t="shared" si="6"/>
        <v>0.6292</v>
      </c>
      <c r="AC86" s="57">
        <v>0.521</v>
      </c>
      <c r="AD86" s="57"/>
      <c r="AE86" s="57"/>
      <c r="AF86" s="73"/>
      <c r="AG86" s="58">
        <f t="shared" si="7"/>
        <v>0</v>
      </c>
      <c r="AH86" s="73"/>
    </row>
    <row r="87" ht="14.25" spans="1:34">
      <c r="A87" s="52">
        <v>85</v>
      </c>
      <c r="B87" s="61" t="s">
        <v>924</v>
      </c>
      <c r="C87" s="62" t="s">
        <v>471</v>
      </c>
      <c r="D87" s="64" t="s">
        <v>934</v>
      </c>
      <c r="E87" s="57">
        <v>28</v>
      </c>
      <c r="F87" s="52">
        <v>1.146</v>
      </c>
      <c r="G87" s="57">
        <v>1.058</v>
      </c>
      <c r="H87" s="58">
        <f t="shared" si="8"/>
        <v>1.11162</v>
      </c>
      <c r="I87" s="52">
        <v>30</v>
      </c>
      <c r="J87" s="52">
        <v>1.269</v>
      </c>
      <c r="K87" s="56">
        <v>1304</v>
      </c>
      <c r="L87" s="56">
        <v>837</v>
      </c>
      <c r="M87" s="57">
        <v>0</v>
      </c>
      <c r="N87" s="57">
        <v>0</v>
      </c>
      <c r="O87" s="57">
        <v>0</v>
      </c>
      <c r="P87" s="57">
        <v>0</v>
      </c>
      <c r="Q87" s="57">
        <v>0</v>
      </c>
      <c r="R87" s="57">
        <v>0.3997</v>
      </c>
      <c r="S87" s="57"/>
      <c r="T87" s="57"/>
      <c r="U87" s="57">
        <v>0.7912</v>
      </c>
      <c r="V87" s="57"/>
      <c r="W87" s="57">
        <f t="shared" si="9"/>
        <v>0.7912</v>
      </c>
      <c r="X87" s="57"/>
      <c r="Y87" s="57"/>
      <c r="Z87" s="57">
        <v>0.6292</v>
      </c>
      <c r="AA87" s="57"/>
      <c r="AB87" s="57">
        <f t="shared" si="6"/>
        <v>0.6292</v>
      </c>
      <c r="AC87" s="57">
        <v>0.521</v>
      </c>
      <c r="AD87" s="57"/>
      <c r="AE87" s="57"/>
      <c r="AF87" s="73"/>
      <c r="AG87" s="58">
        <f t="shared" si="7"/>
        <v>0</v>
      </c>
      <c r="AH87" s="73"/>
    </row>
    <row r="88" ht="14.25" spans="1:34">
      <c r="A88" s="52">
        <v>86</v>
      </c>
      <c r="B88" s="61" t="s">
        <v>924</v>
      </c>
      <c r="C88" s="62" t="s">
        <v>471</v>
      </c>
      <c r="D88" s="64" t="s">
        <v>935</v>
      </c>
      <c r="E88" s="57">
        <v>26</v>
      </c>
      <c r="F88" s="52">
        <v>1.05</v>
      </c>
      <c r="G88" s="57">
        <v>0.978</v>
      </c>
      <c r="H88" s="58">
        <f t="shared" si="8"/>
        <v>1.0185</v>
      </c>
      <c r="I88" s="52">
        <v>29</v>
      </c>
      <c r="J88" s="52">
        <v>1.2</v>
      </c>
      <c r="K88" s="56">
        <v>1216</v>
      </c>
      <c r="L88" s="56">
        <v>823</v>
      </c>
      <c r="M88" s="57">
        <v>0</v>
      </c>
      <c r="N88" s="57">
        <v>0</v>
      </c>
      <c r="O88" s="57">
        <v>0</v>
      </c>
      <c r="P88" s="57">
        <v>0</v>
      </c>
      <c r="Q88" s="57">
        <v>0</v>
      </c>
      <c r="R88" s="57">
        <v>0.3997</v>
      </c>
      <c r="S88" s="57"/>
      <c r="T88" s="57"/>
      <c r="U88" s="57">
        <v>0.7912</v>
      </c>
      <c r="V88" s="57"/>
      <c r="W88" s="57">
        <f t="shared" si="9"/>
        <v>0.7912</v>
      </c>
      <c r="X88" s="57"/>
      <c r="Y88" s="57"/>
      <c r="Z88" s="57">
        <v>0.6292</v>
      </c>
      <c r="AA88" s="57"/>
      <c r="AB88" s="57">
        <f t="shared" si="6"/>
        <v>0.6292</v>
      </c>
      <c r="AC88" s="57">
        <v>0.521</v>
      </c>
      <c r="AD88" s="57"/>
      <c r="AE88" s="57"/>
      <c r="AF88" s="73"/>
      <c r="AG88" s="58">
        <f t="shared" si="7"/>
        <v>0</v>
      </c>
      <c r="AH88" s="73"/>
    </row>
    <row r="89" ht="14.25" spans="1:34">
      <c r="A89" s="52">
        <v>87</v>
      </c>
      <c r="B89" s="61" t="s">
        <v>924</v>
      </c>
      <c r="C89" s="62" t="s">
        <v>471</v>
      </c>
      <c r="D89" s="64" t="s">
        <v>936</v>
      </c>
      <c r="E89" s="57">
        <v>25</v>
      </c>
      <c r="F89" s="52">
        <v>1.084</v>
      </c>
      <c r="G89" s="57">
        <v>1.02</v>
      </c>
      <c r="H89" s="58">
        <f t="shared" si="8"/>
        <v>1.05148</v>
      </c>
      <c r="I89" s="52">
        <v>27</v>
      </c>
      <c r="J89" s="52">
        <v>1.191</v>
      </c>
      <c r="K89" s="56">
        <v>1261</v>
      </c>
      <c r="L89" s="56">
        <v>833</v>
      </c>
      <c r="M89" s="57">
        <v>0</v>
      </c>
      <c r="N89" s="57">
        <v>0</v>
      </c>
      <c r="O89" s="57">
        <v>0</v>
      </c>
      <c r="P89" s="57">
        <v>0</v>
      </c>
      <c r="Q89" s="57">
        <v>0</v>
      </c>
      <c r="R89" s="57">
        <v>0.3997</v>
      </c>
      <c r="S89" s="57"/>
      <c r="T89" s="57"/>
      <c r="U89" s="57">
        <v>0.7912</v>
      </c>
      <c r="V89" s="57"/>
      <c r="W89" s="57">
        <f t="shared" si="9"/>
        <v>0.7912</v>
      </c>
      <c r="X89" s="57"/>
      <c r="Y89" s="57"/>
      <c r="Z89" s="57">
        <v>0.6292</v>
      </c>
      <c r="AA89" s="57"/>
      <c r="AB89" s="57">
        <f t="shared" si="6"/>
        <v>0.6292</v>
      </c>
      <c r="AC89" s="57">
        <v>0.521</v>
      </c>
      <c r="AD89" s="57"/>
      <c r="AE89" s="57"/>
      <c r="AF89" s="73"/>
      <c r="AG89" s="58">
        <f t="shared" si="7"/>
        <v>0</v>
      </c>
      <c r="AH89" s="73"/>
    </row>
    <row r="90" ht="14.25" spans="1:34">
      <c r="A90" s="52">
        <v>88</v>
      </c>
      <c r="B90" s="61" t="s">
        <v>924</v>
      </c>
      <c r="C90" s="62" t="s">
        <v>471</v>
      </c>
      <c r="D90" s="64" t="s">
        <v>937</v>
      </c>
      <c r="E90" s="57">
        <v>29</v>
      </c>
      <c r="F90" s="52">
        <v>1.204</v>
      </c>
      <c r="G90" s="57">
        <v>1.091</v>
      </c>
      <c r="H90" s="58">
        <f t="shared" si="8"/>
        <v>1.16788</v>
      </c>
      <c r="I90" s="52">
        <v>31</v>
      </c>
      <c r="J90" s="52">
        <v>1.315</v>
      </c>
      <c r="K90" s="56">
        <v>1348</v>
      </c>
      <c r="L90" s="56">
        <v>780</v>
      </c>
      <c r="M90" s="57">
        <v>0</v>
      </c>
      <c r="N90" s="57">
        <v>0</v>
      </c>
      <c r="O90" s="57">
        <v>0</v>
      </c>
      <c r="P90" s="57">
        <v>0</v>
      </c>
      <c r="Q90" s="57">
        <v>0</v>
      </c>
      <c r="R90" s="57">
        <v>0.3997</v>
      </c>
      <c r="S90" s="57"/>
      <c r="T90" s="57"/>
      <c r="U90" s="57">
        <v>0.7912</v>
      </c>
      <c r="V90" s="57"/>
      <c r="W90" s="57">
        <f t="shared" si="9"/>
        <v>0.7912</v>
      </c>
      <c r="X90" s="57"/>
      <c r="Y90" s="57"/>
      <c r="Z90" s="57">
        <v>0.6292</v>
      </c>
      <c r="AA90" s="57"/>
      <c r="AB90" s="57">
        <f t="shared" si="6"/>
        <v>0.6292</v>
      </c>
      <c r="AC90" s="57">
        <v>0.521</v>
      </c>
      <c r="AD90" s="57"/>
      <c r="AE90" s="57"/>
      <c r="AF90" s="73"/>
      <c r="AG90" s="58">
        <f t="shared" si="7"/>
        <v>0</v>
      </c>
      <c r="AH90" s="73"/>
    </row>
    <row r="91" ht="14.25" spans="1:34">
      <c r="A91" s="52">
        <v>89</v>
      </c>
      <c r="B91" s="61" t="s">
        <v>924</v>
      </c>
      <c r="C91" s="62" t="s">
        <v>471</v>
      </c>
      <c r="D91" s="64" t="s">
        <v>604</v>
      </c>
      <c r="E91" s="57">
        <v>27</v>
      </c>
      <c r="F91" s="52">
        <v>1.106</v>
      </c>
      <c r="G91" s="57">
        <v>1.024</v>
      </c>
      <c r="H91" s="58">
        <f t="shared" si="8"/>
        <v>1.07282</v>
      </c>
      <c r="I91" s="52">
        <v>29</v>
      </c>
      <c r="J91" s="52">
        <v>1.2</v>
      </c>
      <c r="K91" s="56">
        <v>1270</v>
      </c>
      <c r="L91" s="56">
        <v>799</v>
      </c>
      <c r="M91" s="57">
        <v>0</v>
      </c>
      <c r="N91" s="57">
        <v>0</v>
      </c>
      <c r="O91" s="57">
        <v>0</v>
      </c>
      <c r="P91" s="57">
        <v>0</v>
      </c>
      <c r="Q91" s="57">
        <v>0</v>
      </c>
      <c r="R91" s="57">
        <v>0.3997</v>
      </c>
      <c r="S91" s="57"/>
      <c r="T91" s="57"/>
      <c r="U91" s="57">
        <v>0.7912</v>
      </c>
      <c r="V91" s="57"/>
      <c r="W91" s="57">
        <f t="shared" si="9"/>
        <v>0.7912</v>
      </c>
      <c r="X91" s="57"/>
      <c r="Y91" s="57"/>
      <c r="Z91" s="57">
        <v>0.6292</v>
      </c>
      <c r="AA91" s="57"/>
      <c r="AB91" s="57">
        <f t="shared" si="6"/>
        <v>0.6292</v>
      </c>
      <c r="AC91" s="57">
        <v>0.521</v>
      </c>
      <c r="AD91" s="57"/>
      <c r="AE91" s="57"/>
      <c r="AF91" s="73"/>
      <c r="AG91" s="58">
        <f t="shared" si="7"/>
        <v>0</v>
      </c>
      <c r="AH91" s="73"/>
    </row>
    <row r="92" ht="14.25" spans="1:34">
      <c r="A92" s="52">
        <v>90</v>
      </c>
      <c r="B92" s="61" t="s">
        <v>924</v>
      </c>
      <c r="C92" s="62" t="s">
        <v>471</v>
      </c>
      <c r="D92" s="64" t="s">
        <v>938</v>
      </c>
      <c r="E92" s="57">
        <v>25</v>
      </c>
      <c r="F92" s="52">
        <v>1.099</v>
      </c>
      <c r="G92" s="57">
        <v>1.022</v>
      </c>
      <c r="H92" s="58">
        <f t="shared" si="8"/>
        <v>1.06603</v>
      </c>
      <c r="I92" s="52">
        <v>29</v>
      </c>
      <c r="J92" s="52">
        <v>1.2</v>
      </c>
      <c r="K92" s="56">
        <v>1256</v>
      </c>
      <c r="L92" s="56">
        <v>828</v>
      </c>
      <c r="M92" s="57">
        <v>0</v>
      </c>
      <c r="N92" s="57">
        <v>0</v>
      </c>
      <c r="O92" s="57">
        <v>0</v>
      </c>
      <c r="P92" s="57">
        <v>0</v>
      </c>
      <c r="Q92" s="57">
        <v>0</v>
      </c>
      <c r="R92" s="57">
        <v>0.3997</v>
      </c>
      <c r="S92" s="57"/>
      <c r="T92" s="57"/>
      <c r="U92" s="57">
        <v>0.7912</v>
      </c>
      <c r="V92" s="57"/>
      <c r="W92" s="57">
        <f t="shared" si="9"/>
        <v>0.7912</v>
      </c>
      <c r="X92" s="57"/>
      <c r="Y92" s="57"/>
      <c r="Z92" s="57">
        <v>0.6292</v>
      </c>
      <c r="AA92" s="57"/>
      <c r="AB92" s="57">
        <f t="shared" si="6"/>
        <v>0.6292</v>
      </c>
      <c r="AC92" s="57">
        <v>0.521</v>
      </c>
      <c r="AD92" s="57"/>
      <c r="AE92" s="57"/>
      <c r="AF92" s="73"/>
      <c r="AG92" s="58">
        <f t="shared" si="7"/>
        <v>0</v>
      </c>
      <c r="AH92" s="73"/>
    </row>
    <row r="93" ht="14.25" spans="1:34">
      <c r="A93" s="52">
        <v>91</v>
      </c>
      <c r="B93" s="61" t="s">
        <v>924</v>
      </c>
      <c r="C93" s="62" t="s">
        <v>471</v>
      </c>
      <c r="D93" s="64" t="s">
        <v>939</v>
      </c>
      <c r="E93" s="57">
        <v>24</v>
      </c>
      <c r="F93" s="52">
        <v>1.062</v>
      </c>
      <c r="G93" s="57">
        <v>0.999</v>
      </c>
      <c r="H93" s="58">
        <f t="shared" si="8"/>
        <v>1.03014</v>
      </c>
      <c r="I93" s="52">
        <v>28</v>
      </c>
      <c r="J93" s="52">
        <v>1.251</v>
      </c>
      <c r="K93" s="56">
        <v>1240</v>
      </c>
      <c r="L93" s="56">
        <v>838</v>
      </c>
      <c r="M93" s="57">
        <v>0</v>
      </c>
      <c r="N93" s="57">
        <v>0</v>
      </c>
      <c r="O93" s="57">
        <v>0</v>
      </c>
      <c r="P93" s="57">
        <v>0</v>
      </c>
      <c r="Q93" s="57">
        <v>0</v>
      </c>
      <c r="R93" s="57">
        <v>0.3997</v>
      </c>
      <c r="S93" s="57"/>
      <c r="T93" s="57"/>
      <c r="U93" s="57">
        <v>0.7912</v>
      </c>
      <c r="V93" s="57"/>
      <c r="W93" s="57">
        <f t="shared" si="9"/>
        <v>0.7912</v>
      </c>
      <c r="X93" s="57"/>
      <c r="Y93" s="57"/>
      <c r="Z93" s="57">
        <v>0.6292</v>
      </c>
      <c r="AA93" s="57"/>
      <c r="AB93" s="57">
        <f t="shared" si="6"/>
        <v>0.6292</v>
      </c>
      <c r="AC93" s="57">
        <v>0.521</v>
      </c>
      <c r="AD93" s="57"/>
      <c r="AE93" s="57"/>
      <c r="AF93" s="73"/>
      <c r="AG93" s="58">
        <f t="shared" si="7"/>
        <v>0</v>
      </c>
      <c r="AH93" s="73"/>
    </row>
    <row r="94" ht="14.25" spans="1:34">
      <c r="A94" s="52">
        <v>92</v>
      </c>
      <c r="B94" s="61" t="s">
        <v>924</v>
      </c>
      <c r="C94" s="62" t="s">
        <v>471</v>
      </c>
      <c r="D94" s="64" t="s">
        <v>940</v>
      </c>
      <c r="E94" s="57">
        <v>29</v>
      </c>
      <c r="F94" s="52">
        <v>1.209</v>
      </c>
      <c r="G94" s="57">
        <v>1.092</v>
      </c>
      <c r="H94" s="58">
        <f t="shared" si="8"/>
        <v>1.17273</v>
      </c>
      <c r="I94" s="52">
        <v>28</v>
      </c>
      <c r="J94" s="52">
        <v>1.182</v>
      </c>
      <c r="K94" s="56">
        <v>1351</v>
      </c>
      <c r="L94" s="56">
        <v>795</v>
      </c>
      <c r="M94" s="57">
        <v>0</v>
      </c>
      <c r="N94" s="57">
        <v>0</v>
      </c>
      <c r="O94" s="57">
        <v>0</v>
      </c>
      <c r="P94" s="57">
        <v>0</v>
      </c>
      <c r="Q94" s="57">
        <v>0</v>
      </c>
      <c r="R94" s="57">
        <v>0.3997</v>
      </c>
      <c r="S94" s="57"/>
      <c r="T94" s="57"/>
      <c r="U94" s="57">
        <v>0.7912</v>
      </c>
      <c r="V94" s="57"/>
      <c r="W94" s="57">
        <f t="shared" si="9"/>
        <v>0.7912</v>
      </c>
      <c r="X94" s="57"/>
      <c r="Y94" s="57"/>
      <c r="Z94" s="57">
        <v>0.6292</v>
      </c>
      <c r="AA94" s="57"/>
      <c r="AB94" s="57">
        <f t="shared" si="6"/>
        <v>0.6292</v>
      </c>
      <c r="AC94" s="57">
        <v>0.521</v>
      </c>
      <c r="AD94" s="57"/>
      <c r="AE94" s="57"/>
      <c r="AF94" s="73"/>
      <c r="AG94" s="58">
        <f t="shared" si="7"/>
        <v>0</v>
      </c>
      <c r="AH94" s="73"/>
    </row>
    <row r="95" ht="14.25" spans="1:34">
      <c r="A95" s="52">
        <v>93</v>
      </c>
      <c r="B95" s="61" t="s">
        <v>924</v>
      </c>
      <c r="C95" s="62" t="s">
        <v>520</v>
      </c>
      <c r="D95" s="65" t="s">
        <v>613</v>
      </c>
      <c r="E95" s="57">
        <v>17</v>
      </c>
      <c r="F95" s="63">
        <v>0.91</v>
      </c>
      <c r="G95" s="57">
        <v>0.886</v>
      </c>
      <c r="H95" s="58">
        <f t="shared" si="8"/>
        <v>0.8827</v>
      </c>
      <c r="I95" s="52">
        <v>20</v>
      </c>
      <c r="J95" s="52">
        <v>0.917</v>
      </c>
      <c r="K95" s="56">
        <v>1109</v>
      </c>
      <c r="L95" s="56">
        <v>770</v>
      </c>
      <c r="M95" s="57">
        <v>0</v>
      </c>
      <c r="N95" s="57">
        <v>0</v>
      </c>
      <c r="O95" s="57">
        <v>0</v>
      </c>
      <c r="P95" s="57">
        <v>0</v>
      </c>
      <c r="Q95" s="57">
        <v>0</v>
      </c>
      <c r="R95" s="57">
        <v>0.4402</v>
      </c>
      <c r="S95" s="71"/>
      <c r="T95" s="71"/>
      <c r="U95" s="71">
        <v>0.8685</v>
      </c>
      <c r="V95" s="71"/>
      <c r="W95" s="57">
        <f t="shared" si="9"/>
        <v>0.8685</v>
      </c>
      <c r="X95" s="71"/>
      <c r="Y95" s="71"/>
      <c r="Z95" s="71">
        <v>0.6922</v>
      </c>
      <c r="AA95" s="71"/>
      <c r="AB95" s="57">
        <f t="shared" si="6"/>
        <v>0.6922</v>
      </c>
      <c r="AC95" s="71">
        <v>0.573</v>
      </c>
      <c r="AD95" s="71"/>
      <c r="AE95" s="71"/>
      <c r="AF95" s="58">
        <v>1.12</v>
      </c>
      <c r="AG95" s="58">
        <f t="shared" si="7"/>
        <v>1.28957973517559</v>
      </c>
      <c r="AH95" s="58">
        <v>1.05</v>
      </c>
    </row>
    <row r="96" ht="14.25" spans="1:34">
      <c r="A96" s="52">
        <v>94</v>
      </c>
      <c r="B96" s="61" t="s">
        <v>924</v>
      </c>
      <c r="C96" s="62" t="s">
        <v>520</v>
      </c>
      <c r="D96" s="64" t="s">
        <v>941</v>
      </c>
      <c r="E96" s="57">
        <v>17</v>
      </c>
      <c r="F96" s="52">
        <v>0.85</v>
      </c>
      <c r="G96" s="57">
        <v>0.826</v>
      </c>
      <c r="H96" s="58">
        <f t="shared" si="8"/>
        <v>0.8245</v>
      </c>
      <c r="I96" s="52">
        <v>23</v>
      </c>
      <c r="J96" s="52">
        <v>1.099</v>
      </c>
      <c r="K96" s="56">
        <v>1026</v>
      </c>
      <c r="L96" s="56">
        <v>725</v>
      </c>
      <c r="M96" s="57">
        <v>0</v>
      </c>
      <c r="N96" s="57">
        <v>0</v>
      </c>
      <c r="O96" s="57">
        <v>0</v>
      </c>
      <c r="P96" s="57">
        <v>0</v>
      </c>
      <c r="Q96" s="57">
        <v>0</v>
      </c>
      <c r="R96" s="57">
        <v>0.4402</v>
      </c>
      <c r="S96" s="71"/>
      <c r="T96" s="71"/>
      <c r="U96" s="71">
        <v>0.8685</v>
      </c>
      <c r="V96" s="71"/>
      <c r="W96" s="57">
        <f t="shared" si="9"/>
        <v>0.8685</v>
      </c>
      <c r="X96" s="71"/>
      <c r="Y96" s="71"/>
      <c r="Z96" s="71">
        <v>0.6922</v>
      </c>
      <c r="AA96" s="71"/>
      <c r="AB96" s="57">
        <f t="shared" si="6"/>
        <v>0.6922</v>
      </c>
      <c r="AC96" s="71">
        <v>0.573</v>
      </c>
      <c r="AD96" s="71"/>
      <c r="AE96" s="71"/>
      <c r="AF96" s="73"/>
      <c r="AG96" s="58">
        <f t="shared" si="7"/>
        <v>0</v>
      </c>
      <c r="AH96" s="73"/>
    </row>
    <row r="97" ht="14.25" spans="1:34">
      <c r="A97" s="52">
        <v>95</v>
      </c>
      <c r="B97" s="61" t="s">
        <v>924</v>
      </c>
      <c r="C97" s="62" t="s">
        <v>520</v>
      </c>
      <c r="D97" s="64" t="s">
        <v>942</v>
      </c>
      <c r="E97" s="57">
        <v>20</v>
      </c>
      <c r="F97" s="52">
        <v>0.901</v>
      </c>
      <c r="G97" s="57">
        <v>0.872</v>
      </c>
      <c r="H97" s="58">
        <f t="shared" si="8"/>
        <v>0.87397</v>
      </c>
      <c r="I97" s="52">
        <v>20</v>
      </c>
      <c r="J97" s="52">
        <v>0.975</v>
      </c>
      <c r="K97" s="56">
        <v>1093</v>
      </c>
      <c r="L97" s="56">
        <v>754</v>
      </c>
      <c r="M97" s="57">
        <v>0</v>
      </c>
      <c r="N97" s="57">
        <v>0</v>
      </c>
      <c r="O97" s="57">
        <v>0</v>
      </c>
      <c r="P97" s="57">
        <v>0</v>
      </c>
      <c r="Q97" s="57">
        <v>0</v>
      </c>
      <c r="R97" s="57">
        <v>0.4402</v>
      </c>
      <c r="S97" s="71"/>
      <c r="T97" s="71"/>
      <c r="U97" s="71">
        <v>0.8685</v>
      </c>
      <c r="V97" s="71"/>
      <c r="W97" s="57">
        <f t="shared" si="9"/>
        <v>0.8685</v>
      </c>
      <c r="X97" s="71"/>
      <c r="Y97" s="71"/>
      <c r="Z97" s="71">
        <v>0.6922</v>
      </c>
      <c r="AA97" s="71"/>
      <c r="AB97" s="57">
        <f t="shared" si="6"/>
        <v>0.6922</v>
      </c>
      <c r="AC97" s="71">
        <v>0.573</v>
      </c>
      <c r="AD97" s="71"/>
      <c r="AE97" s="71"/>
      <c r="AF97" s="73"/>
      <c r="AG97" s="58">
        <f t="shared" si="7"/>
        <v>0</v>
      </c>
      <c r="AH97" s="73"/>
    </row>
    <row r="98" ht="14.25" spans="1:34">
      <c r="A98" s="52">
        <v>96</v>
      </c>
      <c r="B98" s="61" t="s">
        <v>924</v>
      </c>
      <c r="C98" s="62" t="s">
        <v>520</v>
      </c>
      <c r="D98" s="64" t="s">
        <v>943</v>
      </c>
      <c r="E98" s="57">
        <v>20</v>
      </c>
      <c r="F98" s="52">
        <v>0.912</v>
      </c>
      <c r="G98" s="57">
        <v>0.886</v>
      </c>
      <c r="H98" s="58">
        <f t="shared" si="8"/>
        <v>0.88464</v>
      </c>
      <c r="I98" s="52">
        <v>16</v>
      </c>
      <c r="J98" s="52">
        <v>0.912</v>
      </c>
      <c r="K98" s="56">
        <v>1105</v>
      </c>
      <c r="L98" s="56">
        <v>766</v>
      </c>
      <c r="M98" s="57">
        <v>0</v>
      </c>
      <c r="N98" s="57">
        <v>0</v>
      </c>
      <c r="O98" s="57">
        <v>0</v>
      </c>
      <c r="P98" s="57">
        <v>0</v>
      </c>
      <c r="Q98" s="57">
        <v>0</v>
      </c>
      <c r="R98" s="57">
        <v>0.4402</v>
      </c>
      <c r="S98" s="71"/>
      <c r="T98" s="71"/>
      <c r="U98" s="71">
        <v>0.8685</v>
      </c>
      <c r="V98" s="71"/>
      <c r="W98" s="57">
        <f t="shared" si="9"/>
        <v>0.8685</v>
      </c>
      <c r="X98" s="71"/>
      <c r="Y98" s="71"/>
      <c r="Z98" s="71">
        <v>0.6922</v>
      </c>
      <c r="AA98" s="71"/>
      <c r="AB98" s="57">
        <f t="shared" si="6"/>
        <v>0.6922</v>
      </c>
      <c r="AC98" s="71">
        <v>0.573</v>
      </c>
      <c r="AD98" s="71"/>
      <c r="AE98" s="71"/>
      <c r="AF98" s="73"/>
      <c r="AG98" s="58">
        <f t="shared" si="7"/>
        <v>0</v>
      </c>
      <c r="AH98" s="73"/>
    </row>
    <row r="99" ht="14.25" spans="1:34">
      <c r="A99" s="52">
        <v>97</v>
      </c>
      <c r="B99" s="61" t="s">
        <v>924</v>
      </c>
      <c r="C99" s="62" t="s">
        <v>520</v>
      </c>
      <c r="D99" s="64" t="s">
        <v>944</v>
      </c>
      <c r="E99" s="57">
        <v>23</v>
      </c>
      <c r="F99" s="52">
        <v>0.967</v>
      </c>
      <c r="G99" s="57">
        <v>0.931</v>
      </c>
      <c r="H99" s="58">
        <f t="shared" si="8"/>
        <v>0.93799</v>
      </c>
      <c r="I99" s="52">
        <v>16</v>
      </c>
      <c r="J99" s="52">
        <v>0.931</v>
      </c>
      <c r="K99" s="56">
        <v>1154</v>
      </c>
      <c r="L99" s="56">
        <v>810</v>
      </c>
      <c r="M99" s="57">
        <v>0</v>
      </c>
      <c r="N99" s="57">
        <v>0</v>
      </c>
      <c r="O99" s="57">
        <v>0</v>
      </c>
      <c r="P99" s="57">
        <v>0</v>
      </c>
      <c r="Q99" s="57">
        <v>0</v>
      </c>
      <c r="R99" s="57">
        <v>0.4402</v>
      </c>
      <c r="S99" s="71"/>
      <c r="T99" s="71"/>
      <c r="U99" s="71">
        <v>0.8685</v>
      </c>
      <c r="V99" s="71"/>
      <c r="W99" s="57">
        <f t="shared" si="9"/>
        <v>0.8685</v>
      </c>
      <c r="X99" s="71"/>
      <c r="Y99" s="71"/>
      <c r="Z99" s="71">
        <v>0.6922</v>
      </c>
      <c r="AA99" s="71"/>
      <c r="AB99" s="57">
        <f t="shared" si="6"/>
        <v>0.6922</v>
      </c>
      <c r="AC99" s="71">
        <v>0.573</v>
      </c>
      <c r="AD99" s="71"/>
      <c r="AE99" s="71"/>
      <c r="AF99" s="73"/>
      <c r="AG99" s="58">
        <f t="shared" si="7"/>
        <v>0</v>
      </c>
      <c r="AH99" s="73"/>
    </row>
    <row r="100" ht="14.25" spans="1:34">
      <c r="A100" s="52">
        <v>98</v>
      </c>
      <c r="B100" s="61" t="s">
        <v>924</v>
      </c>
      <c r="C100" s="62" t="s">
        <v>520</v>
      </c>
      <c r="D100" s="64" t="s">
        <v>945</v>
      </c>
      <c r="E100" s="57">
        <v>17</v>
      </c>
      <c r="F100" s="52">
        <v>0.921</v>
      </c>
      <c r="G100" s="57">
        <v>0.893</v>
      </c>
      <c r="H100" s="58">
        <f t="shared" si="8"/>
        <v>0.89337</v>
      </c>
      <c r="I100" s="52">
        <v>19</v>
      </c>
      <c r="J100" s="52">
        <v>0.998</v>
      </c>
      <c r="K100" s="56">
        <v>1121</v>
      </c>
      <c r="L100" s="56">
        <v>793</v>
      </c>
      <c r="M100" s="57">
        <v>0</v>
      </c>
      <c r="N100" s="57">
        <v>0</v>
      </c>
      <c r="O100" s="57">
        <v>0</v>
      </c>
      <c r="P100" s="57">
        <v>0</v>
      </c>
      <c r="Q100" s="57">
        <v>0</v>
      </c>
      <c r="R100" s="57">
        <v>0.4402</v>
      </c>
      <c r="S100" s="71"/>
      <c r="T100" s="71"/>
      <c r="U100" s="71">
        <v>0.8685</v>
      </c>
      <c r="V100" s="71"/>
      <c r="W100" s="57">
        <f t="shared" si="9"/>
        <v>0.8685</v>
      </c>
      <c r="X100" s="71"/>
      <c r="Y100" s="71"/>
      <c r="Z100" s="71">
        <v>0.6922</v>
      </c>
      <c r="AA100" s="71"/>
      <c r="AB100" s="57">
        <f t="shared" si="6"/>
        <v>0.6922</v>
      </c>
      <c r="AC100" s="71">
        <v>0.573</v>
      </c>
      <c r="AD100" s="71"/>
      <c r="AE100" s="71"/>
      <c r="AF100" s="73"/>
      <c r="AG100" s="58">
        <f t="shared" si="7"/>
        <v>0</v>
      </c>
      <c r="AH100" s="73"/>
    </row>
    <row r="101" ht="14.25" spans="1:34">
      <c r="A101" s="52">
        <v>99</v>
      </c>
      <c r="B101" s="61" t="s">
        <v>924</v>
      </c>
      <c r="C101" s="62" t="s">
        <v>520</v>
      </c>
      <c r="D101" s="64" t="s">
        <v>946</v>
      </c>
      <c r="E101" s="57">
        <v>16</v>
      </c>
      <c r="F101" s="52">
        <v>0.926</v>
      </c>
      <c r="G101" s="57">
        <v>0.9</v>
      </c>
      <c r="H101" s="58">
        <f t="shared" si="8"/>
        <v>0.89822</v>
      </c>
      <c r="I101" s="52">
        <v>16</v>
      </c>
      <c r="J101" s="52">
        <v>0.933</v>
      </c>
      <c r="K101" s="56">
        <v>1118</v>
      </c>
      <c r="L101" s="56">
        <v>773</v>
      </c>
      <c r="M101" s="57">
        <v>0</v>
      </c>
      <c r="N101" s="57">
        <v>0</v>
      </c>
      <c r="O101" s="57">
        <v>0</v>
      </c>
      <c r="P101" s="57">
        <v>0</v>
      </c>
      <c r="Q101" s="57">
        <v>0</v>
      </c>
      <c r="R101" s="57">
        <v>0.4402</v>
      </c>
      <c r="S101" s="71"/>
      <c r="T101" s="71"/>
      <c r="U101" s="71">
        <v>0.8685</v>
      </c>
      <c r="V101" s="71"/>
      <c r="W101" s="57">
        <f t="shared" si="9"/>
        <v>0.8685</v>
      </c>
      <c r="X101" s="71"/>
      <c r="Y101" s="71"/>
      <c r="Z101" s="71">
        <v>0.6922</v>
      </c>
      <c r="AA101" s="71"/>
      <c r="AB101" s="57">
        <f t="shared" si="6"/>
        <v>0.6922</v>
      </c>
      <c r="AC101" s="71">
        <v>0.573</v>
      </c>
      <c r="AD101" s="71"/>
      <c r="AE101" s="71"/>
      <c r="AF101" s="73"/>
      <c r="AG101" s="58">
        <f t="shared" si="7"/>
        <v>0</v>
      </c>
      <c r="AH101" s="73"/>
    </row>
    <row r="102" ht="14.25" spans="1:34">
      <c r="A102" s="52">
        <v>100</v>
      </c>
      <c r="B102" s="61" t="s">
        <v>924</v>
      </c>
      <c r="C102" s="62" t="s">
        <v>520</v>
      </c>
      <c r="D102" s="64" t="s">
        <v>947</v>
      </c>
      <c r="E102" s="57">
        <v>17</v>
      </c>
      <c r="F102" s="52">
        <v>0.978</v>
      </c>
      <c r="G102" s="57">
        <v>0.949</v>
      </c>
      <c r="H102" s="58">
        <f t="shared" si="8"/>
        <v>0.94866</v>
      </c>
      <c r="I102" s="52">
        <v>18</v>
      </c>
      <c r="J102" s="52">
        <v>0.978</v>
      </c>
      <c r="K102" s="56">
        <v>1185</v>
      </c>
      <c r="L102" s="56">
        <v>807</v>
      </c>
      <c r="M102" s="57">
        <v>0</v>
      </c>
      <c r="N102" s="57">
        <v>0</v>
      </c>
      <c r="O102" s="57">
        <v>0</v>
      </c>
      <c r="P102" s="57">
        <v>0</v>
      </c>
      <c r="Q102" s="57">
        <v>0</v>
      </c>
      <c r="R102" s="57">
        <v>0.4402</v>
      </c>
      <c r="S102" s="71"/>
      <c r="T102" s="71"/>
      <c r="U102" s="71">
        <v>0.8685</v>
      </c>
      <c r="V102" s="71"/>
      <c r="W102" s="57">
        <f t="shared" si="9"/>
        <v>0.8685</v>
      </c>
      <c r="X102" s="71"/>
      <c r="Y102" s="71"/>
      <c r="Z102" s="71">
        <v>0.6922</v>
      </c>
      <c r="AA102" s="71"/>
      <c r="AB102" s="57">
        <f t="shared" si="6"/>
        <v>0.6922</v>
      </c>
      <c r="AC102" s="71">
        <v>0.573</v>
      </c>
      <c r="AD102" s="71"/>
      <c r="AE102" s="71"/>
      <c r="AF102" s="73"/>
      <c r="AG102" s="58">
        <f t="shared" si="7"/>
        <v>0</v>
      </c>
      <c r="AH102" s="73"/>
    </row>
    <row r="103" ht="14.25" spans="1:34">
      <c r="A103" s="52">
        <v>101</v>
      </c>
      <c r="B103" s="61" t="s">
        <v>924</v>
      </c>
      <c r="C103" s="62" t="s">
        <v>520</v>
      </c>
      <c r="D103" s="64" t="s">
        <v>948</v>
      </c>
      <c r="E103" s="57">
        <v>19</v>
      </c>
      <c r="F103" s="52">
        <v>1.054</v>
      </c>
      <c r="G103" s="57">
        <v>1.018</v>
      </c>
      <c r="H103" s="58">
        <f t="shared" si="8"/>
        <v>1.02238</v>
      </c>
      <c r="I103" s="52">
        <v>18</v>
      </c>
      <c r="J103" s="52">
        <v>0.998</v>
      </c>
      <c r="K103" s="56">
        <v>1279</v>
      </c>
      <c r="L103" s="56">
        <v>784</v>
      </c>
      <c r="M103" s="57">
        <v>0</v>
      </c>
      <c r="N103" s="57">
        <v>0</v>
      </c>
      <c r="O103" s="57">
        <v>0</v>
      </c>
      <c r="P103" s="57">
        <v>0</v>
      </c>
      <c r="Q103" s="57">
        <v>0</v>
      </c>
      <c r="R103" s="57">
        <v>0.4402</v>
      </c>
      <c r="S103" s="71"/>
      <c r="T103" s="71"/>
      <c r="U103" s="71">
        <v>0.8685</v>
      </c>
      <c r="V103" s="71"/>
      <c r="W103" s="57">
        <f t="shared" si="9"/>
        <v>0.8685</v>
      </c>
      <c r="X103" s="71"/>
      <c r="Y103" s="71"/>
      <c r="Z103" s="71">
        <v>0.6922</v>
      </c>
      <c r="AA103" s="71"/>
      <c r="AB103" s="57">
        <f t="shared" si="6"/>
        <v>0.6922</v>
      </c>
      <c r="AC103" s="71">
        <v>0.573</v>
      </c>
      <c r="AD103" s="71"/>
      <c r="AE103" s="71"/>
      <c r="AF103" s="73"/>
      <c r="AG103" s="58">
        <f t="shared" si="7"/>
        <v>0</v>
      </c>
      <c r="AH103" s="73"/>
    </row>
    <row r="104" ht="14.25" spans="1:34">
      <c r="A104" s="52">
        <v>102</v>
      </c>
      <c r="B104" s="61" t="s">
        <v>924</v>
      </c>
      <c r="C104" s="62" t="s">
        <v>520</v>
      </c>
      <c r="D104" s="64" t="s">
        <v>949</v>
      </c>
      <c r="E104" s="57">
        <v>17</v>
      </c>
      <c r="F104" s="52">
        <v>0.982</v>
      </c>
      <c r="G104" s="57">
        <v>0.954</v>
      </c>
      <c r="H104" s="58">
        <f t="shared" si="8"/>
        <v>0.95254</v>
      </c>
      <c r="I104" s="52">
        <v>15</v>
      </c>
      <c r="J104" s="52">
        <v>0.944</v>
      </c>
      <c r="K104" s="56">
        <v>1193</v>
      </c>
      <c r="L104" s="56">
        <v>802</v>
      </c>
      <c r="M104" s="57">
        <v>0</v>
      </c>
      <c r="N104" s="57">
        <v>0</v>
      </c>
      <c r="O104" s="57">
        <v>0</v>
      </c>
      <c r="P104" s="57">
        <v>0</v>
      </c>
      <c r="Q104" s="57">
        <v>0</v>
      </c>
      <c r="R104" s="57">
        <v>0.4402</v>
      </c>
      <c r="S104" s="71"/>
      <c r="T104" s="71"/>
      <c r="U104" s="71">
        <v>0.8685</v>
      </c>
      <c r="V104" s="71"/>
      <c r="W104" s="57">
        <f t="shared" si="9"/>
        <v>0.8685</v>
      </c>
      <c r="X104" s="71"/>
      <c r="Y104" s="71"/>
      <c r="Z104" s="71">
        <v>0.6922</v>
      </c>
      <c r="AA104" s="71"/>
      <c r="AB104" s="57">
        <f t="shared" si="6"/>
        <v>0.6922</v>
      </c>
      <c r="AC104" s="71">
        <v>0.573</v>
      </c>
      <c r="AD104" s="71"/>
      <c r="AE104" s="71"/>
      <c r="AF104" s="73"/>
      <c r="AG104" s="58">
        <f t="shared" si="7"/>
        <v>0</v>
      </c>
      <c r="AH104" s="73"/>
    </row>
    <row r="105" ht="14.25" spans="1:34">
      <c r="A105" s="52">
        <v>103</v>
      </c>
      <c r="B105" s="61" t="s">
        <v>924</v>
      </c>
      <c r="C105" s="62" t="s">
        <v>520</v>
      </c>
      <c r="D105" s="64" t="s">
        <v>950</v>
      </c>
      <c r="E105" s="57">
        <v>19</v>
      </c>
      <c r="F105" s="52">
        <v>0.973</v>
      </c>
      <c r="G105" s="57">
        <v>0.939</v>
      </c>
      <c r="H105" s="58">
        <f t="shared" si="8"/>
        <v>0.94381</v>
      </c>
      <c r="I105" s="52">
        <v>15</v>
      </c>
      <c r="J105" s="52">
        <v>0.937</v>
      </c>
      <c r="K105" s="56">
        <v>1169</v>
      </c>
      <c r="L105" s="56">
        <v>778</v>
      </c>
      <c r="M105" s="57">
        <v>0</v>
      </c>
      <c r="N105" s="57">
        <v>0</v>
      </c>
      <c r="O105" s="57">
        <v>0</v>
      </c>
      <c r="P105" s="57">
        <v>0</v>
      </c>
      <c r="Q105" s="57">
        <v>0</v>
      </c>
      <c r="R105" s="57">
        <v>0.4402</v>
      </c>
      <c r="S105" s="71"/>
      <c r="T105" s="71"/>
      <c r="U105" s="71">
        <v>0.8685</v>
      </c>
      <c r="V105" s="71"/>
      <c r="W105" s="57">
        <f t="shared" si="9"/>
        <v>0.8685</v>
      </c>
      <c r="X105" s="71"/>
      <c r="Y105" s="71"/>
      <c r="Z105" s="71">
        <v>0.6922</v>
      </c>
      <c r="AA105" s="71"/>
      <c r="AB105" s="57">
        <f t="shared" si="6"/>
        <v>0.6922</v>
      </c>
      <c r="AC105" s="71">
        <v>0.573</v>
      </c>
      <c r="AD105" s="71"/>
      <c r="AE105" s="71"/>
      <c r="AF105" s="73"/>
      <c r="AG105" s="58">
        <f t="shared" si="7"/>
        <v>0</v>
      </c>
      <c r="AH105" s="73"/>
    </row>
    <row r="106" ht="14.25" spans="1:34">
      <c r="A106" s="52">
        <v>104</v>
      </c>
      <c r="B106" s="61" t="s">
        <v>924</v>
      </c>
      <c r="C106" s="62" t="s">
        <v>520</v>
      </c>
      <c r="D106" s="64" t="s">
        <v>951</v>
      </c>
      <c r="E106" s="57">
        <v>18</v>
      </c>
      <c r="F106" s="52">
        <v>0.936</v>
      </c>
      <c r="G106" s="57">
        <v>0.903</v>
      </c>
      <c r="H106" s="58">
        <f t="shared" si="8"/>
        <v>0.90792</v>
      </c>
      <c r="I106" s="52">
        <v>15</v>
      </c>
      <c r="J106" s="52">
        <v>0.853</v>
      </c>
      <c r="K106" s="56">
        <v>1130</v>
      </c>
      <c r="L106" s="56">
        <v>769</v>
      </c>
      <c r="M106" s="57">
        <v>0</v>
      </c>
      <c r="N106" s="57">
        <v>0</v>
      </c>
      <c r="O106" s="57">
        <v>0</v>
      </c>
      <c r="P106" s="57">
        <v>0</v>
      </c>
      <c r="Q106" s="57">
        <v>0</v>
      </c>
      <c r="R106" s="57">
        <v>0.4402</v>
      </c>
      <c r="S106" s="71"/>
      <c r="T106" s="71"/>
      <c r="U106" s="71">
        <v>0.8685</v>
      </c>
      <c r="V106" s="71"/>
      <c r="W106" s="57">
        <f t="shared" si="9"/>
        <v>0.8685</v>
      </c>
      <c r="X106" s="71"/>
      <c r="Y106" s="71"/>
      <c r="Z106" s="71">
        <v>0.6922</v>
      </c>
      <c r="AA106" s="71"/>
      <c r="AB106" s="57">
        <f t="shared" si="6"/>
        <v>0.6922</v>
      </c>
      <c r="AC106" s="71">
        <v>0.573</v>
      </c>
      <c r="AD106" s="71"/>
      <c r="AE106" s="71"/>
      <c r="AF106" s="73"/>
      <c r="AG106" s="58">
        <f t="shared" si="7"/>
        <v>0</v>
      </c>
      <c r="AH106" s="73"/>
    </row>
    <row r="107" ht="14.25" spans="1:34">
      <c r="A107" s="52">
        <v>105</v>
      </c>
      <c r="B107" s="61" t="s">
        <v>924</v>
      </c>
      <c r="C107" s="62" t="s">
        <v>520</v>
      </c>
      <c r="D107" s="64" t="s">
        <v>952</v>
      </c>
      <c r="E107" s="57">
        <v>18</v>
      </c>
      <c r="F107" s="52">
        <v>0.94</v>
      </c>
      <c r="G107" s="57">
        <v>0.906</v>
      </c>
      <c r="H107" s="58">
        <f t="shared" si="8"/>
        <v>0.9118</v>
      </c>
      <c r="I107" s="52">
        <v>16</v>
      </c>
      <c r="J107" s="52">
        <v>0.921</v>
      </c>
      <c r="K107" s="56">
        <v>1139</v>
      </c>
      <c r="L107" s="56">
        <v>765</v>
      </c>
      <c r="M107" s="57">
        <v>0</v>
      </c>
      <c r="N107" s="57">
        <v>0</v>
      </c>
      <c r="O107" s="57">
        <v>0</v>
      </c>
      <c r="P107" s="57">
        <v>0</v>
      </c>
      <c r="Q107" s="57">
        <v>0</v>
      </c>
      <c r="R107" s="57">
        <v>0.4402</v>
      </c>
      <c r="S107" s="71"/>
      <c r="T107" s="71"/>
      <c r="U107" s="71">
        <v>0.8685</v>
      </c>
      <c r="V107" s="71"/>
      <c r="W107" s="57">
        <f t="shared" si="9"/>
        <v>0.8685</v>
      </c>
      <c r="X107" s="71"/>
      <c r="Y107" s="71"/>
      <c r="Z107" s="71">
        <v>0.6922</v>
      </c>
      <c r="AA107" s="71"/>
      <c r="AB107" s="57">
        <f t="shared" si="6"/>
        <v>0.6922</v>
      </c>
      <c r="AC107" s="71">
        <v>0.573</v>
      </c>
      <c r="AD107" s="71"/>
      <c r="AE107" s="71"/>
      <c r="AF107" s="73"/>
      <c r="AG107" s="58">
        <f t="shared" si="7"/>
        <v>0</v>
      </c>
      <c r="AH107" s="73"/>
    </row>
    <row r="108" ht="14.25" spans="1:34">
      <c r="A108" s="52">
        <v>106</v>
      </c>
      <c r="B108" s="61" t="s">
        <v>924</v>
      </c>
      <c r="C108" s="62" t="s">
        <v>520</v>
      </c>
      <c r="D108" s="64" t="s">
        <v>953</v>
      </c>
      <c r="E108" s="57">
        <v>18</v>
      </c>
      <c r="F108" s="52">
        <v>0.897</v>
      </c>
      <c r="G108" s="57">
        <v>0.868</v>
      </c>
      <c r="H108" s="58">
        <f t="shared" si="8"/>
        <v>0.87009</v>
      </c>
      <c r="I108" s="52">
        <v>15</v>
      </c>
      <c r="J108" s="52">
        <v>0.817</v>
      </c>
      <c r="K108" s="56">
        <v>1087</v>
      </c>
      <c r="L108" s="56">
        <v>758</v>
      </c>
      <c r="M108" s="57">
        <v>0</v>
      </c>
      <c r="N108" s="57">
        <v>0</v>
      </c>
      <c r="O108" s="57">
        <v>0</v>
      </c>
      <c r="P108" s="57">
        <v>0</v>
      </c>
      <c r="Q108" s="57">
        <v>0</v>
      </c>
      <c r="R108" s="57">
        <v>0.4402</v>
      </c>
      <c r="S108" s="71"/>
      <c r="T108" s="71"/>
      <c r="U108" s="71">
        <v>0.8685</v>
      </c>
      <c r="V108" s="71"/>
      <c r="W108" s="57">
        <f t="shared" si="9"/>
        <v>0.8685</v>
      </c>
      <c r="X108" s="71"/>
      <c r="Y108" s="71"/>
      <c r="Z108" s="71">
        <v>0.6922</v>
      </c>
      <c r="AA108" s="71"/>
      <c r="AB108" s="57">
        <f t="shared" si="6"/>
        <v>0.6922</v>
      </c>
      <c r="AC108" s="71">
        <v>0.573</v>
      </c>
      <c r="AD108" s="71"/>
      <c r="AE108" s="71"/>
      <c r="AF108" s="73"/>
      <c r="AG108" s="58">
        <f t="shared" si="7"/>
        <v>0</v>
      </c>
      <c r="AH108" s="73"/>
    </row>
    <row r="109" ht="14.25" spans="1:34">
      <c r="A109" s="52">
        <v>107</v>
      </c>
      <c r="B109" s="61" t="s">
        <v>924</v>
      </c>
      <c r="C109" s="62" t="s">
        <v>522</v>
      </c>
      <c r="D109" s="65" t="s">
        <v>609</v>
      </c>
      <c r="E109" s="57">
        <v>22</v>
      </c>
      <c r="F109" s="63">
        <v>0.993</v>
      </c>
      <c r="G109" s="57">
        <v>0.948</v>
      </c>
      <c r="H109" s="58">
        <f t="shared" si="8"/>
        <v>0.96321</v>
      </c>
      <c r="I109" s="52">
        <v>20</v>
      </c>
      <c r="J109" s="52">
        <v>0.914</v>
      </c>
      <c r="K109" s="56">
        <v>1180</v>
      </c>
      <c r="L109" s="56">
        <v>815</v>
      </c>
      <c r="M109" s="57">
        <v>0</v>
      </c>
      <c r="N109" s="57">
        <v>0</v>
      </c>
      <c r="O109" s="57">
        <v>0</v>
      </c>
      <c r="P109" s="57">
        <v>0</v>
      </c>
      <c r="Q109" s="57">
        <v>0</v>
      </c>
      <c r="R109" s="57">
        <v>0.4416</v>
      </c>
      <c r="S109" s="71"/>
      <c r="T109" s="71"/>
      <c r="U109" s="71">
        <v>0.9</v>
      </c>
      <c r="V109" s="71"/>
      <c r="W109" s="57">
        <f t="shared" si="9"/>
        <v>0.9</v>
      </c>
      <c r="X109" s="71"/>
      <c r="Y109" s="71"/>
      <c r="Z109" s="71">
        <v>0.6448</v>
      </c>
      <c r="AA109" s="71"/>
      <c r="AB109" s="57">
        <f t="shared" si="6"/>
        <v>0.6448</v>
      </c>
      <c r="AC109" s="71">
        <v>0.57</v>
      </c>
      <c r="AD109" s="71">
        <v>0.62</v>
      </c>
      <c r="AE109" s="71">
        <v>0.87</v>
      </c>
      <c r="AF109" s="58">
        <v>1</v>
      </c>
      <c r="AG109" s="58">
        <f t="shared" si="7"/>
        <v>1.11111111111111</v>
      </c>
      <c r="AH109" s="58">
        <v>0.92</v>
      </c>
    </row>
    <row r="110" ht="14.25" spans="1:34">
      <c r="A110" s="52">
        <v>108</v>
      </c>
      <c r="B110" s="61" t="s">
        <v>924</v>
      </c>
      <c r="C110" s="62" t="s">
        <v>522</v>
      </c>
      <c r="D110" s="64" t="s">
        <v>954</v>
      </c>
      <c r="E110" s="57">
        <v>27</v>
      </c>
      <c r="F110" s="52">
        <v>1.133</v>
      </c>
      <c r="G110" s="57">
        <v>1.039</v>
      </c>
      <c r="H110" s="58">
        <f t="shared" si="8"/>
        <v>1.09901</v>
      </c>
      <c r="I110" s="52">
        <v>26</v>
      </c>
      <c r="J110" s="52">
        <v>1.116</v>
      </c>
      <c r="K110" s="56">
        <v>1269</v>
      </c>
      <c r="L110" s="56">
        <v>747</v>
      </c>
      <c r="M110" s="57">
        <v>0</v>
      </c>
      <c r="N110" s="57">
        <v>0</v>
      </c>
      <c r="O110" s="57">
        <v>0</v>
      </c>
      <c r="P110" s="57">
        <v>0</v>
      </c>
      <c r="Q110" s="57">
        <v>0</v>
      </c>
      <c r="R110" s="57">
        <v>0.4416</v>
      </c>
      <c r="S110" s="71"/>
      <c r="T110" s="71"/>
      <c r="U110" s="71">
        <v>0.9</v>
      </c>
      <c r="V110" s="71"/>
      <c r="W110" s="57">
        <f t="shared" si="9"/>
        <v>0.9</v>
      </c>
      <c r="X110" s="71"/>
      <c r="Y110" s="71"/>
      <c r="Z110" s="71">
        <v>0.6448</v>
      </c>
      <c r="AA110" s="71"/>
      <c r="AB110" s="57">
        <f t="shared" si="6"/>
        <v>0.6448</v>
      </c>
      <c r="AC110" s="71">
        <v>0.57</v>
      </c>
      <c r="AD110" s="71">
        <v>0.62</v>
      </c>
      <c r="AE110" s="71">
        <v>0.87</v>
      </c>
      <c r="AF110" s="73"/>
      <c r="AG110" s="58">
        <f t="shared" si="7"/>
        <v>0</v>
      </c>
      <c r="AH110" s="73"/>
    </row>
    <row r="111" ht="14.25" spans="1:34">
      <c r="A111" s="52">
        <v>109</v>
      </c>
      <c r="B111" s="61" t="s">
        <v>924</v>
      </c>
      <c r="C111" s="62" t="s">
        <v>522</v>
      </c>
      <c r="D111" s="64" t="s">
        <v>955</v>
      </c>
      <c r="E111" s="57">
        <v>20</v>
      </c>
      <c r="F111" s="52">
        <v>0.982</v>
      </c>
      <c r="G111" s="57">
        <v>0.924</v>
      </c>
      <c r="H111" s="58">
        <f t="shared" si="8"/>
        <v>0.95254</v>
      </c>
      <c r="I111" s="52">
        <v>20</v>
      </c>
      <c r="J111" s="52">
        <v>1.016</v>
      </c>
      <c r="K111" s="56">
        <v>1155</v>
      </c>
      <c r="L111" s="56">
        <v>794</v>
      </c>
      <c r="M111" s="57">
        <v>0</v>
      </c>
      <c r="N111" s="57">
        <v>0</v>
      </c>
      <c r="O111" s="57">
        <v>0</v>
      </c>
      <c r="P111" s="57">
        <v>0</v>
      </c>
      <c r="Q111" s="57">
        <v>0</v>
      </c>
      <c r="R111" s="57">
        <v>0.4416</v>
      </c>
      <c r="S111" s="71"/>
      <c r="T111" s="71"/>
      <c r="U111" s="71">
        <v>0.9</v>
      </c>
      <c r="V111" s="71"/>
      <c r="W111" s="57">
        <f t="shared" si="9"/>
        <v>0.9</v>
      </c>
      <c r="X111" s="71"/>
      <c r="Y111" s="71"/>
      <c r="Z111" s="71">
        <v>0.6448</v>
      </c>
      <c r="AA111" s="71"/>
      <c r="AB111" s="57">
        <f t="shared" si="6"/>
        <v>0.6448</v>
      </c>
      <c r="AC111" s="71">
        <v>0.57</v>
      </c>
      <c r="AD111" s="71">
        <v>0.62</v>
      </c>
      <c r="AE111" s="71">
        <v>0.87</v>
      </c>
      <c r="AF111" s="73"/>
      <c r="AG111" s="58">
        <f t="shared" si="7"/>
        <v>0</v>
      </c>
      <c r="AH111" s="73"/>
    </row>
    <row r="112" ht="14.25" spans="1:34">
      <c r="A112" s="52">
        <v>110</v>
      </c>
      <c r="B112" s="61" t="s">
        <v>924</v>
      </c>
      <c r="C112" s="62" t="s">
        <v>522</v>
      </c>
      <c r="D112" s="64" t="s">
        <v>956</v>
      </c>
      <c r="E112" s="57">
        <v>17</v>
      </c>
      <c r="F112" s="52">
        <v>0.914</v>
      </c>
      <c r="G112" s="57">
        <v>0.882</v>
      </c>
      <c r="H112" s="58">
        <f t="shared" si="8"/>
        <v>0.88658</v>
      </c>
      <c r="I112" s="52">
        <v>20</v>
      </c>
      <c r="J112" s="52">
        <v>0.913</v>
      </c>
      <c r="K112" s="56">
        <v>1117</v>
      </c>
      <c r="L112" s="56">
        <v>773</v>
      </c>
      <c r="M112" s="57">
        <v>0</v>
      </c>
      <c r="N112" s="57">
        <v>0</v>
      </c>
      <c r="O112" s="57">
        <v>0</v>
      </c>
      <c r="P112" s="57">
        <v>0</v>
      </c>
      <c r="Q112" s="57">
        <v>0</v>
      </c>
      <c r="R112" s="57">
        <v>0.4416</v>
      </c>
      <c r="S112" s="71"/>
      <c r="T112" s="71"/>
      <c r="U112" s="71">
        <v>0.9</v>
      </c>
      <c r="V112" s="71"/>
      <c r="W112" s="57">
        <f t="shared" si="9"/>
        <v>0.9</v>
      </c>
      <c r="X112" s="71"/>
      <c r="Y112" s="71"/>
      <c r="Z112" s="71">
        <v>0.6448</v>
      </c>
      <c r="AA112" s="71"/>
      <c r="AB112" s="57">
        <f t="shared" si="6"/>
        <v>0.6448</v>
      </c>
      <c r="AC112" s="71">
        <v>0.57</v>
      </c>
      <c r="AD112" s="71">
        <v>0.62</v>
      </c>
      <c r="AE112" s="71">
        <v>0.87</v>
      </c>
      <c r="AF112" s="73"/>
      <c r="AG112" s="58">
        <f t="shared" si="7"/>
        <v>0</v>
      </c>
      <c r="AH112" s="73"/>
    </row>
    <row r="113" ht="14.25" spans="1:34">
      <c r="A113" s="52">
        <v>111</v>
      </c>
      <c r="B113" s="61" t="s">
        <v>924</v>
      </c>
      <c r="C113" s="62" t="s">
        <v>522</v>
      </c>
      <c r="D113" s="64" t="s">
        <v>957</v>
      </c>
      <c r="E113" s="57">
        <v>19</v>
      </c>
      <c r="F113" s="52">
        <v>0.998</v>
      </c>
      <c r="G113" s="57">
        <v>0.954</v>
      </c>
      <c r="H113" s="58">
        <f t="shared" si="8"/>
        <v>0.96806</v>
      </c>
      <c r="I113" s="52">
        <v>20</v>
      </c>
      <c r="J113" s="52">
        <v>1.012</v>
      </c>
      <c r="K113" s="56">
        <v>1193</v>
      </c>
      <c r="L113" s="56">
        <v>832</v>
      </c>
      <c r="M113" s="57">
        <v>0</v>
      </c>
      <c r="N113" s="57">
        <v>0</v>
      </c>
      <c r="O113" s="57">
        <v>0</v>
      </c>
      <c r="P113" s="57">
        <v>0</v>
      </c>
      <c r="Q113" s="57">
        <v>0</v>
      </c>
      <c r="R113" s="57">
        <v>0.4416</v>
      </c>
      <c r="S113" s="71"/>
      <c r="T113" s="71"/>
      <c r="U113" s="71">
        <v>0.9</v>
      </c>
      <c r="V113" s="71"/>
      <c r="W113" s="57">
        <f t="shared" si="9"/>
        <v>0.9</v>
      </c>
      <c r="X113" s="71"/>
      <c r="Y113" s="71"/>
      <c r="Z113" s="71">
        <v>0.6448</v>
      </c>
      <c r="AA113" s="71"/>
      <c r="AB113" s="57">
        <f t="shared" si="6"/>
        <v>0.6448</v>
      </c>
      <c r="AC113" s="71">
        <v>0.57</v>
      </c>
      <c r="AD113" s="71">
        <v>0.62</v>
      </c>
      <c r="AE113" s="71">
        <v>0.87</v>
      </c>
      <c r="AF113" s="73"/>
      <c r="AG113" s="58">
        <f t="shared" si="7"/>
        <v>0</v>
      </c>
      <c r="AH113" s="73"/>
    </row>
    <row r="114" ht="14.25" spans="1:34">
      <c r="A114" s="57">
        <v>112</v>
      </c>
      <c r="B114" s="61" t="s">
        <v>924</v>
      </c>
      <c r="C114" s="62" t="s">
        <v>522</v>
      </c>
      <c r="D114" s="56" t="s">
        <v>958</v>
      </c>
      <c r="E114" s="57">
        <v>19</v>
      </c>
      <c r="F114" s="57">
        <v>1.026</v>
      </c>
      <c r="G114" s="57">
        <v>0.98</v>
      </c>
      <c r="H114" s="58">
        <f t="shared" si="8"/>
        <v>0.99522</v>
      </c>
      <c r="I114" s="57">
        <v>25</v>
      </c>
      <c r="J114" s="57">
        <v>1.122</v>
      </c>
      <c r="K114" s="56">
        <v>1222</v>
      </c>
      <c r="L114" s="56">
        <v>808</v>
      </c>
      <c r="M114" s="57">
        <v>0</v>
      </c>
      <c r="N114" s="57">
        <v>0</v>
      </c>
      <c r="O114" s="57">
        <v>0</v>
      </c>
      <c r="P114" s="67">
        <v>0.1</v>
      </c>
      <c r="Q114" s="67">
        <v>10</v>
      </c>
      <c r="R114" s="57">
        <v>0.4416</v>
      </c>
      <c r="S114" s="71"/>
      <c r="T114" s="71"/>
      <c r="U114" s="71">
        <v>0.9</v>
      </c>
      <c r="V114" s="71"/>
      <c r="W114" s="57">
        <f t="shared" si="9"/>
        <v>0.9</v>
      </c>
      <c r="X114" s="71"/>
      <c r="Y114" s="71"/>
      <c r="Z114" s="71">
        <v>0.6448</v>
      </c>
      <c r="AA114" s="71"/>
      <c r="AB114" s="57">
        <f t="shared" si="6"/>
        <v>0.6448</v>
      </c>
      <c r="AC114" s="71">
        <v>0.57</v>
      </c>
      <c r="AD114" s="71">
        <v>0.62</v>
      </c>
      <c r="AE114" s="71">
        <v>0.87</v>
      </c>
      <c r="AF114" s="58">
        <v>0.93</v>
      </c>
      <c r="AG114" s="58">
        <f t="shared" si="7"/>
        <v>1.03333333333333</v>
      </c>
      <c r="AH114" s="58">
        <v>0.86</v>
      </c>
    </row>
    <row r="115" ht="14.25" spans="1:34">
      <c r="A115" s="52">
        <v>113</v>
      </c>
      <c r="B115" s="61" t="s">
        <v>924</v>
      </c>
      <c r="C115" s="62" t="s">
        <v>522</v>
      </c>
      <c r="D115" s="64" t="s">
        <v>959</v>
      </c>
      <c r="E115" s="57">
        <v>19</v>
      </c>
      <c r="F115" s="52">
        <v>0.966</v>
      </c>
      <c r="G115" s="57">
        <v>0.924</v>
      </c>
      <c r="H115" s="58">
        <f t="shared" si="8"/>
        <v>0.93702</v>
      </c>
      <c r="I115" s="52">
        <v>19</v>
      </c>
      <c r="J115" s="52">
        <v>0.972</v>
      </c>
      <c r="K115" s="56">
        <v>1149</v>
      </c>
      <c r="L115" s="56">
        <v>763</v>
      </c>
      <c r="M115" s="57">
        <v>0</v>
      </c>
      <c r="N115" s="57">
        <v>0</v>
      </c>
      <c r="O115" s="57">
        <v>0</v>
      </c>
      <c r="P115" s="57">
        <v>0</v>
      </c>
      <c r="Q115" s="57">
        <v>0</v>
      </c>
      <c r="R115" s="57">
        <v>0.4416</v>
      </c>
      <c r="S115" s="71"/>
      <c r="T115" s="71"/>
      <c r="U115" s="71">
        <v>0.9</v>
      </c>
      <c r="V115" s="71"/>
      <c r="W115" s="57">
        <f t="shared" si="9"/>
        <v>0.9</v>
      </c>
      <c r="X115" s="71"/>
      <c r="Y115" s="71"/>
      <c r="Z115" s="71">
        <v>0.6448</v>
      </c>
      <c r="AA115" s="71"/>
      <c r="AB115" s="57">
        <f t="shared" si="6"/>
        <v>0.6448</v>
      </c>
      <c r="AC115" s="71">
        <v>0.57</v>
      </c>
      <c r="AD115" s="71">
        <v>0.62</v>
      </c>
      <c r="AE115" s="71">
        <v>0.87</v>
      </c>
      <c r="AF115" s="73"/>
      <c r="AG115" s="58">
        <f t="shared" si="7"/>
        <v>0</v>
      </c>
      <c r="AH115" s="73"/>
    </row>
    <row r="116" ht="14.25" spans="1:34">
      <c r="A116" s="52">
        <v>114</v>
      </c>
      <c r="B116" s="61" t="s">
        <v>924</v>
      </c>
      <c r="C116" s="62" t="s">
        <v>522</v>
      </c>
      <c r="D116" s="64" t="s">
        <v>960</v>
      </c>
      <c r="E116" s="57">
        <v>19</v>
      </c>
      <c r="F116" s="52">
        <v>0.919</v>
      </c>
      <c r="G116" s="57">
        <v>0.886</v>
      </c>
      <c r="H116" s="58">
        <f t="shared" si="8"/>
        <v>0.89143</v>
      </c>
      <c r="I116" s="52">
        <v>23</v>
      </c>
      <c r="J116" s="52">
        <v>1.081</v>
      </c>
      <c r="K116" s="56">
        <v>1109</v>
      </c>
      <c r="L116" s="56">
        <v>779</v>
      </c>
      <c r="M116" s="57">
        <v>0</v>
      </c>
      <c r="N116" s="57">
        <v>0</v>
      </c>
      <c r="O116" s="57">
        <v>0</v>
      </c>
      <c r="P116" s="57">
        <v>0</v>
      </c>
      <c r="Q116" s="57">
        <v>0</v>
      </c>
      <c r="R116" s="57">
        <v>0.4416</v>
      </c>
      <c r="S116" s="71"/>
      <c r="T116" s="71"/>
      <c r="U116" s="71">
        <v>0.9</v>
      </c>
      <c r="V116" s="71"/>
      <c r="W116" s="57">
        <f t="shared" si="9"/>
        <v>0.9</v>
      </c>
      <c r="X116" s="71"/>
      <c r="Y116" s="71"/>
      <c r="Z116" s="71">
        <v>0.6448</v>
      </c>
      <c r="AA116" s="71"/>
      <c r="AB116" s="57">
        <f t="shared" si="6"/>
        <v>0.6448</v>
      </c>
      <c r="AC116" s="71">
        <v>0.57</v>
      </c>
      <c r="AD116" s="71">
        <v>0.62</v>
      </c>
      <c r="AE116" s="71">
        <v>0.87</v>
      </c>
      <c r="AF116" s="73"/>
      <c r="AG116" s="58">
        <f t="shared" si="7"/>
        <v>0</v>
      </c>
      <c r="AH116" s="73"/>
    </row>
    <row r="117" ht="14.25" spans="1:34">
      <c r="A117" s="52">
        <v>115</v>
      </c>
      <c r="B117" s="61" t="s">
        <v>924</v>
      </c>
      <c r="C117" s="62" t="s">
        <v>522</v>
      </c>
      <c r="D117" s="64" t="s">
        <v>607</v>
      </c>
      <c r="E117" s="57">
        <v>19</v>
      </c>
      <c r="F117" s="52">
        <v>0.944</v>
      </c>
      <c r="G117" s="57">
        <v>0.909</v>
      </c>
      <c r="H117" s="58">
        <f t="shared" si="8"/>
        <v>0.91568</v>
      </c>
      <c r="I117" s="52">
        <v>20</v>
      </c>
      <c r="J117" s="52">
        <v>0.992</v>
      </c>
      <c r="K117" s="56">
        <v>1115</v>
      </c>
      <c r="L117" s="56">
        <v>751</v>
      </c>
      <c r="M117" s="57">
        <v>0</v>
      </c>
      <c r="N117" s="57">
        <v>0</v>
      </c>
      <c r="O117" s="57">
        <v>0</v>
      </c>
      <c r="P117" s="57">
        <v>0</v>
      </c>
      <c r="Q117" s="57">
        <v>0</v>
      </c>
      <c r="R117" s="57">
        <v>0.4416</v>
      </c>
      <c r="S117" s="71"/>
      <c r="T117" s="71"/>
      <c r="U117" s="71">
        <v>0.9</v>
      </c>
      <c r="V117" s="71"/>
      <c r="W117" s="57">
        <f t="shared" si="9"/>
        <v>0.9</v>
      </c>
      <c r="X117" s="71"/>
      <c r="Y117" s="71"/>
      <c r="Z117" s="71">
        <v>0.6448</v>
      </c>
      <c r="AA117" s="71"/>
      <c r="AB117" s="57">
        <f t="shared" si="6"/>
        <v>0.6448</v>
      </c>
      <c r="AC117" s="71">
        <v>0.57</v>
      </c>
      <c r="AD117" s="71">
        <v>0.62</v>
      </c>
      <c r="AE117" s="71">
        <v>0.87</v>
      </c>
      <c r="AF117" s="73"/>
      <c r="AG117" s="58">
        <f t="shared" si="7"/>
        <v>0</v>
      </c>
      <c r="AH117" s="73"/>
    </row>
    <row r="118" ht="14.25" spans="1:34">
      <c r="A118" s="52">
        <v>116</v>
      </c>
      <c r="B118" s="61" t="s">
        <v>924</v>
      </c>
      <c r="C118" s="62" t="s">
        <v>522</v>
      </c>
      <c r="D118" s="64" t="s">
        <v>961</v>
      </c>
      <c r="E118" s="57">
        <v>22</v>
      </c>
      <c r="F118" s="52">
        <v>1.039</v>
      </c>
      <c r="G118" s="57">
        <v>0.979</v>
      </c>
      <c r="H118" s="58">
        <f t="shared" si="8"/>
        <v>1.00783</v>
      </c>
      <c r="I118" s="52">
        <v>22</v>
      </c>
      <c r="J118" s="52">
        <v>1.036</v>
      </c>
      <c r="K118" s="56">
        <v>1216</v>
      </c>
      <c r="L118" s="56">
        <v>805</v>
      </c>
      <c r="M118" s="57">
        <v>0</v>
      </c>
      <c r="N118" s="57">
        <v>0</v>
      </c>
      <c r="O118" s="57">
        <v>0</v>
      </c>
      <c r="P118" s="57">
        <v>0</v>
      </c>
      <c r="Q118" s="57">
        <v>0</v>
      </c>
      <c r="R118" s="57">
        <v>0.4416</v>
      </c>
      <c r="S118" s="71"/>
      <c r="T118" s="71"/>
      <c r="U118" s="71">
        <v>0.9</v>
      </c>
      <c r="V118" s="71"/>
      <c r="W118" s="57">
        <f t="shared" si="9"/>
        <v>0.9</v>
      </c>
      <c r="X118" s="71"/>
      <c r="Y118" s="71"/>
      <c r="Z118" s="71">
        <v>0.6448</v>
      </c>
      <c r="AA118" s="71"/>
      <c r="AB118" s="57">
        <f t="shared" si="6"/>
        <v>0.6448</v>
      </c>
      <c r="AC118" s="71">
        <v>0.57</v>
      </c>
      <c r="AD118" s="71">
        <v>0.62</v>
      </c>
      <c r="AE118" s="71">
        <v>0.87</v>
      </c>
      <c r="AF118" s="73"/>
      <c r="AG118" s="58">
        <f t="shared" si="7"/>
        <v>0</v>
      </c>
      <c r="AH118" s="73"/>
    </row>
    <row r="119" ht="14.25" spans="1:34">
      <c r="A119" s="52">
        <v>117</v>
      </c>
      <c r="B119" s="61" t="s">
        <v>924</v>
      </c>
      <c r="C119" s="62" t="s">
        <v>522</v>
      </c>
      <c r="D119" s="64" t="s">
        <v>962</v>
      </c>
      <c r="E119" s="57">
        <v>20</v>
      </c>
      <c r="F119" s="52">
        <v>1.028</v>
      </c>
      <c r="G119" s="57">
        <v>0.977</v>
      </c>
      <c r="H119" s="58">
        <f t="shared" si="8"/>
        <v>0.99716</v>
      </c>
      <c r="I119" s="52">
        <v>21</v>
      </c>
      <c r="J119" s="52">
        <v>1.057</v>
      </c>
      <c r="K119" s="56">
        <v>1221</v>
      </c>
      <c r="L119" s="56">
        <v>815</v>
      </c>
      <c r="M119" s="57">
        <v>0</v>
      </c>
      <c r="N119" s="57">
        <v>0</v>
      </c>
      <c r="O119" s="57">
        <v>0</v>
      </c>
      <c r="P119" s="57">
        <v>0</v>
      </c>
      <c r="Q119" s="57">
        <v>0</v>
      </c>
      <c r="R119" s="57">
        <v>0.4416</v>
      </c>
      <c r="S119" s="71"/>
      <c r="T119" s="71"/>
      <c r="U119" s="71">
        <v>0.9</v>
      </c>
      <c r="V119" s="71"/>
      <c r="W119" s="57">
        <f t="shared" si="9"/>
        <v>0.9</v>
      </c>
      <c r="X119" s="71"/>
      <c r="Y119" s="71"/>
      <c r="Z119" s="71">
        <v>0.6448</v>
      </c>
      <c r="AA119" s="71"/>
      <c r="AB119" s="57">
        <f t="shared" si="6"/>
        <v>0.6448</v>
      </c>
      <c r="AC119" s="71">
        <v>0.57</v>
      </c>
      <c r="AD119" s="71">
        <v>0.62</v>
      </c>
      <c r="AE119" s="71">
        <v>0.87</v>
      </c>
      <c r="AF119" s="73"/>
      <c r="AG119" s="58">
        <f t="shared" si="7"/>
        <v>0</v>
      </c>
      <c r="AH119" s="73"/>
    </row>
    <row r="120" ht="14.25" spans="1:34">
      <c r="A120" s="52">
        <v>118</v>
      </c>
      <c r="B120" s="61" t="s">
        <v>924</v>
      </c>
      <c r="C120" s="62" t="s">
        <v>522</v>
      </c>
      <c r="D120" s="64" t="s">
        <v>963</v>
      </c>
      <c r="E120" s="57">
        <v>24</v>
      </c>
      <c r="F120" s="52">
        <v>1.117</v>
      </c>
      <c r="G120" s="57">
        <v>1.044</v>
      </c>
      <c r="H120" s="58">
        <f t="shared" si="8"/>
        <v>1.08349</v>
      </c>
      <c r="I120" s="52">
        <v>21</v>
      </c>
      <c r="J120" s="52">
        <v>1.063</v>
      </c>
      <c r="K120" s="56">
        <v>1303</v>
      </c>
      <c r="L120" s="56">
        <v>798</v>
      </c>
      <c r="M120" s="57">
        <v>0</v>
      </c>
      <c r="N120" s="57">
        <v>0</v>
      </c>
      <c r="O120" s="57">
        <v>0</v>
      </c>
      <c r="P120" s="57">
        <v>0</v>
      </c>
      <c r="Q120" s="57">
        <v>0</v>
      </c>
      <c r="R120" s="57">
        <v>0.4416</v>
      </c>
      <c r="S120" s="71"/>
      <c r="T120" s="71"/>
      <c r="U120" s="71">
        <v>0.9</v>
      </c>
      <c r="V120" s="71"/>
      <c r="W120" s="57">
        <f t="shared" si="9"/>
        <v>0.9</v>
      </c>
      <c r="X120" s="71"/>
      <c r="Y120" s="71"/>
      <c r="Z120" s="71">
        <v>0.6448</v>
      </c>
      <c r="AA120" s="71"/>
      <c r="AB120" s="57">
        <f t="shared" si="6"/>
        <v>0.6448</v>
      </c>
      <c r="AC120" s="71">
        <v>0.57</v>
      </c>
      <c r="AD120" s="71">
        <v>0.62</v>
      </c>
      <c r="AE120" s="71">
        <v>0.87</v>
      </c>
      <c r="AF120" s="73"/>
      <c r="AG120" s="58">
        <f t="shared" si="7"/>
        <v>0</v>
      </c>
      <c r="AH120" s="73"/>
    </row>
    <row r="121" ht="14.25" spans="1:34">
      <c r="A121" s="52">
        <v>119</v>
      </c>
      <c r="B121" s="61" t="s">
        <v>924</v>
      </c>
      <c r="C121" s="62" t="s">
        <v>522</v>
      </c>
      <c r="D121" s="64" t="s">
        <v>964</v>
      </c>
      <c r="E121" s="57">
        <v>15</v>
      </c>
      <c r="F121" s="52">
        <v>0.837</v>
      </c>
      <c r="G121" s="57">
        <v>0.815</v>
      </c>
      <c r="H121" s="58">
        <f t="shared" si="8"/>
        <v>0.81189</v>
      </c>
      <c r="I121" s="52">
        <v>15</v>
      </c>
      <c r="J121" s="52">
        <v>0.788</v>
      </c>
      <c r="K121" s="56">
        <v>1024</v>
      </c>
      <c r="L121" s="56">
        <v>687</v>
      </c>
      <c r="M121" s="57">
        <v>0</v>
      </c>
      <c r="N121" s="57">
        <v>0</v>
      </c>
      <c r="O121" s="57">
        <v>0</v>
      </c>
      <c r="P121" s="57">
        <v>0</v>
      </c>
      <c r="Q121" s="57">
        <v>0</v>
      </c>
      <c r="R121" s="57">
        <v>0.4416</v>
      </c>
      <c r="S121" s="71"/>
      <c r="T121" s="71"/>
      <c r="U121" s="71">
        <v>0.9</v>
      </c>
      <c r="V121" s="71"/>
      <c r="W121" s="57">
        <f t="shared" si="9"/>
        <v>0.9</v>
      </c>
      <c r="X121" s="71"/>
      <c r="Y121" s="71"/>
      <c r="Z121" s="71">
        <v>0.6448</v>
      </c>
      <c r="AA121" s="71"/>
      <c r="AB121" s="57">
        <f t="shared" si="6"/>
        <v>0.6448</v>
      </c>
      <c r="AC121" s="71">
        <v>0.57</v>
      </c>
      <c r="AD121" s="71">
        <v>0.62</v>
      </c>
      <c r="AE121" s="71">
        <v>0.87</v>
      </c>
      <c r="AF121" s="73"/>
      <c r="AG121" s="58">
        <f t="shared" si="7"/>
        <v>0</v>
      </c>
      <c r="AH121" s="73"/>
    </row>
    <row r="122" ht="14.25" spans="1:34">
      <c r="A122" s="52">
        <v>120</v>
      </c>
      <c r="B122" s="61" t="s">
        <v>924</v>
      </c>
      <c r="C122" s="62" t="s">
        <v>522</v>
      </c>
      <c r="D122" s="64" t="s">
        <v>965</v>
      </c>
      <c r="E122" s="57">
        <v>19</v>
      </c>
      <c r="F122" s="52">
        <v>1.005</v>
      </c>
      <c r="G122" s="57">
        <v>0.963</v>
      </c>
      <c r="H122" s="58">
        <f t="shared" si="8"/>
        <v>0.97485</v>
      </c>
      <c r="I122" s="52">
        <v>17</v>
      </c>
      <c r="J122" s="52">
        <v>0.949</v>
      </c>
      <c r="K122" s="56">
        <v>1148</v>
      </c>
      <c r="L122" s="56">
        <v>804</v>
      </c>
      <c r="M122" s="57">
        <v>0</v>
      </c>
      <c r="N122" s="57">
        <v>0</v>
      </c>
      <c r="O122" s="57">
        <v>0</v>
      </c>
      <c r="P122" s="57">
        <v>0</v>
      </c>
      <c r="Q122" s="57">
        <v>0</v>
      </c>
      <c r="R122" s="57">
        <v>0.4416</v>
      </c>
      <c r="S122" s="71"/>
      <c r="T122" s="71"/>
      <c r="U122" s="71">
        <v>0.9</v>
      </c>
      <c r="V122" s="71"/>
      <c r="W122" s="57">
        <f t="shared" si="9"/>
        <v>0.9</v>
      </c>
      <c r="X122" s="71"/>
      <c r="Y122" s="71"/>
      <c r="Z122" s="71">
        <v>0.6448</v>
      </c>
      <c r="AA122" s="71"/>
      <c r="AB122" s="57">
        <f t="shared" si="6"/>
        <v>0.6448</v>
      </c>
      <c r="AC122" s="71">
        <v>0.57</v>
      </c>
      <c r="AD122" s="71">
        <v>0.62</v>
      </c>
      <c r="AE122" s="71">
        <v>0.87</v>
      </c>
      <c r="AF122" s="73"/>
      <c r="AG122" s="58">
        <f t="shared" si="7"/>
        <v>0</v>
      </c>
      <c r="AH122" s="73"/>
    </row>
    <row r="123" ht="14.25" spans="1:34">
      <c r="A123" s="52">
        <v>121</v>
      </c>
      <c r="B123" s="61" t="s">
        <v>924</v>
      </c>
      <c r="C123" s="62" t="s">
        <v>522</v>
      </c>
      <c r="D123" s="64" t="s">
        <v>966</v>
      </c>
      <c r="E123" s="57">
        <v>18</v>
      </c>
      <c r="F123" s="52">
        <v>0.943</v>
      </c>
      <c r="G123" s="57">
        <v>0.903</v>
      </c>
      <c r="H123" s="58">
        <f t="shared" si="8"/>
        <v>0.91471</v>
      </c>
      <c r="I123" s="52">
        <v>18</v>
      </c>
      <c r="J123" s="52">
        <v>0.91</v>
      </c>
      <c r="K123" s="56">
        <v>1129</v>
      </c>
      <c r="L123" s="56">
        <v>776</v>
      </c>
      <c r="M123" s="57">
        <v>0</v>
      </c>
      <c r="N123" s="57">
        <v>0</v>
      </c>
      <c r="O123" s="57">
        <v>0</v>
      </c>
      <c r="P123" s="57">
        <v>0</v>
      </c>
      <c r="Q123" s="57">
        <v>0</v>
      </c>
      <c r="R123" s="57">
        <v>0.4416</v>
      </c>
      <c r="S123" s="71"/>
      <c r="T123" s="71"/>
      <c r="U123" s="71">
        <v>0.9</v>
      </c>
      <c r="V123" s="71"/>
      <c r="W123" s="57">
        <f t="shared" si="9"/>
        <v>0.9</v>
      </c>
      <c r="X123" s="71"/>
      <c r="Y123" s="71"/>
      <c r="Z123" s="71">
        <v>0.6448</v>
      </c>
      <c r="AA123" s="71"/>
      <c r="AB123" s="57">
        <f t="shared" si="6"/>
        <v>0.6448</v>
      </c>
      <c r="AC123" s="71">
        <v>0.57</v>
      </c>
      <c r="AD123" s="71">
        <v>0.62</v>
      </c>
      <c r="AE123" s="71">
        <v>0.87</v>
      </c>
      <c r="AF123" s="73"/>
      <c r="AG123" s="58">
        <f t="shared" si="7"/>
        <v>0</v>
      </c>
      <c r="AH123" s="73"/>
    </row>
    <row r="124" ht="14.25" spans="1:34">
      <c r="A124" s="52">
        <v>122</v>
      </c>
      <c r="B124" s="61" t="s">
        <v>924</v>
      </c>
      <c r="C124" s="62" t="s">
        <v>522</v>
      </c>
      <c r="D124" s="64" t="s">
        <v>967</v>
      </c>
      <c r="E124" s="57">
        <v>26</v>
      </c>
      <c r="F124" s="52">
        <v>0.984</v>
      </c>
      <c r="G124" s="57">
        <v>0.93</v>
      </c>
      <c r="H124" s="58">
        <f t="shared" si="8"/>
        <v>0.95448</v>
      </c>
      <c r="I124" s="52">
        <v>21</v>
      </c>
      <c r="J124" s="52">
        <v>0.934</v>
      </c>
      <c r="K124" s="56">
        <v>1148</v>
      </c>
      <c r="L124" s="56">
        <v>698</v>
      </c>
      <c r="M124" s="57">
        <v>0</v>
      </c>
      <c r="N124" s="57">
        <v>0</v>
      </c>
      <c r="O124" s="57">
        <v>0</v>
      </c>
      <c r="P124" s="57">
        <v>0</v>
      </c>
      <c r="Q124" s="57">
        <v>0</v>
      </c>
      <c r="R124" s="57">
        <v>0.4416</v>
      </c>
      <c r="S124" s="71"/>
      <c r="T124" s="71"/>
      <c r="U124" s="71">
        <v>0.9</v>
      </c>
      <c r="V124" s="71"/>
      <c r="W124" s="57">
        <f t="shared" si="9"/>
        <v>0.9</v>
      </c>
      <c r="X124" s="71"/>
      <c r="Y124" s="71"/>
      <c r="Z124" s="71">
        <v>0.6448</v>
      </c>
      <c r="AA124" s="71"/>
      <c r="AB124" s="57">
        <f t="shared" si="6"/>
        <v>0.6448</v>
      </c>
      <c r="AC124" s="71">
        <v>0.57</v>
      </c>
      <c r="AD124" s="71">
        <v>0.62</v>
      </c>
      <c r="AE124" s="71">
        <v>0.87</v>
      </c>
      <c r="AF124" s="73"/>
      <c r="AG124" s="58">
        <f t="shared" si="7"/>
        <v>0</v>
      </c>
      <c r="AH124" s="73"/>
    </row>
    <row r="125" ht="14.25" spans="1:34">
      <c r="A125" s="52">
        <v>123</v>
      </c>
      <c r="B125" s="61" t="s">
        <v>924</v>
      </c>
      <c r="C125" s="62" t="s">
        <v>522</v>
      </c>
      <c r="D125" s="64" t="s">
        <v>968</v>
      </c>
      <c r="E125" s="57">
        <v>21</v>
      </c>
      <c r="F125" s="52">
        <v>0.943</v>
      </c>
      <c r="G125" s="57">
        <v>0.908</v>
      </c>
      <c r="H125" s="58">
        <f t="shared" si="8"/>
        <v>0.91471</v>
      </c>
      <c r="I125" s="52">
        <v>27</v>
      </c>
      <c r="J125" s="52">
        <v>1.122</v>
      </c>
      <c r="K125" s="56">
        <v>1129</v>
      </c>
      <c r="L125" s="56">
        <v>788</v>
      </c>
      <c r="M125" s="57">
        <v>0</v>
      </c>
      <c r="N125" s="57">
        <v>0</v>
      </c>
      <c r="O125" s="57">
        <v>0</v>
      </c>
      <c r="P125" s="57">
        <v>0</v>
      </c>
      <c r="Q125" s="57">
        <v>0</v>
      </c>
      <c r="R125" s="57">
        <v>0.4416</v>
      </c>
      <c r="S125" s="71"/>
      <c r="T125" s="71"/>
      <c r="U125" s="71">
        <v>0.9</v>
      </c>
      <c r="V125" s="71"/>
      <c r="W125" s="57">
        <f t="shared" si="9"/>
        <v>0.9</v>
      </c>
      <c r="X125" s="71"/>
      <c r="Y125" s="71"/>
      <c r="Z125" s="71">
        <v>0.6448</v>
      </c>
      <c r="AA125" s="71"/>
      <c r="AB125" s="57">
        <f t="shared" si="6"/>
        <v>0.6448</v>
      </c>
      <c r="AC125" s="71">
        <v>0.57</v>
      </c>
      <c r="AD125" s="71">
        <v>0.62</v>
      </c>
      <c r="AE125" s="71">
        <v>0.87</v>
      </c>
      <c r="AF125" s="73"/>
      <c r="AG125" s="58">
        <f t="shared" si="7"/>
        <v>0</v>
      </c>
      <c r="AH125" s="73"/>
    </row>
    <row r="126" ht="14.25" spans="1:34">
      <c r="A126" s="52">
        <v>124</v>
      </c>
      <c r="B126" s="61" t="s">
        <v>969</v>
      </c>
      <c r="C126" s="62" t="s">
        <v>970</v>
      </c>
      <c r="D126" s="65" t="s">
        <v>627</v>
      </c>
      <c r="E126" s="57">
        <v>15</v>
      </c>
      <c r="F126" s="63">
        <v>0.805</v>
      </c>
      <c r="G126" s="57">
        <v>0.785</v>
      </c>
      <c r="H126" s="58">
        <f t="shared" si="8"/>
        <v>0.78085</v>
      </c>
      <c r="I126" s="52">
        <v>16</v>
      </c>
      <c r="J126" s="52">
        <v>0.798</v>
      </c>
      <c r="K126" s="56">
        <v>987</v>
      </c>
      <c r="L126" s="56">
        <v>721</v>
      </c>
      <c r="M126" s="57">
        <v>0</v>
      </c>
      <c r="N126" s="57">
        <v>0</v>
      </c>
      <c r="O126" s="57">
        <v>0</v>
      </c>
      <c r="P126" s="57">
        <v>0</v>
      </c>
      <c r="Q126" s="57">
        <v>0</v>
      </c>
      <c r="R126" s="57">
        <v>0.4402</v>
      </c>
      <c r="S126" s="73"/>
      <c r="T126" s="73"/>
      <c r="U126" s="71">
        <v>0.7836</v>
      </c>
      <c r="V126" s="73"/>
      <c r="W126" s="57">
        <f t="shared" si="9"/>
        <v>0.7836</v>
      </c>
      <c r="X126" s="73"/>
      <c r="Y126" s="73"/>
      <c r="Z126" s="71">
        <v>0.5386</v>
      </c>
      <c r="AA126" s="73"/>
      <c r="AB126" s="57">
        <f t="shared" si="6"/>
        <v>0.5386</v>
      </c>
      <c r="AC126" s="71">
        <v>0.4656</v>
      </c>
      <c r="AD126" s="71">
        <v>0.5656</v>
      </c>
      <c r="AE126" s="71">
        <v>0.7656</v>
      </c>
      <c r="AF126" s="58">
        <v>1.3</v>
      </c>
      <c r="AG126" s="58">
        <f t="shared" si="7"/>
        <v>1.65900969882593</v>
      </c>
      <c r="AH126" s="58">
        <v>1.22</v>
      </c>
    </row>
    <row r="127" ht="14.25" spans="1:34">
      <c r="A127" s="52">
        <v>125</v>
      </c>
      <c r="B127" s="61" t="s">
        <v>969</v>
      </c>
      <c r="C127" s="62" t="s">
        <v>970</v>
      </c>
      <c r="D127" s="64" t="s">
        <v>971</v>
      </c>
      <c r="E127" s="57">
        <v>22</v>
      </c>
      <c r="F127" s="52">
        <v>0.915</v>
      </c>
      <c r="G127" s="57">
        <v>0.873</v>
      </c>
      <c r="H127" s="58">
        <f t="shared" si="8"/>
        <v>0.88755</v>
      </c>
      <c r="I127" s="52">
        <v>19</v>
      </c>
      <c r="J127" s="52">
        <v>0.937</v>
      </c>
      <c r="K127" s="56">
        <v>1085</v>
      </c>
      <c r="L127" s="56">
        <v>652</v>
      </c>
      <c r="M127" s="57">
        <v>0</v>
      </c>
      <c r="N127" s="57">
        <v>0</v>
      </c>
      <c r="O127" s="57">
        <v>0</v>
      </c>
      <c r="P127" s="57">
        <v>0</v>
      </c>
      <c r="Q127" s="57">
        <v>0</v>
      </c>
      <c r="R127" s="57">
        <v>0.4402</v>
      </c>
      <c r="S127" s="73"/>
      <c r="T127" s="73"/>
      <c r="U127" s="71">
        <v>0.7836</v>
      </c>
      <c r="V127" s="73"/>
      <c r="W127" s="57">
        <f t="shared" si="9"/>
        <v>0.7836</v>
      </c>
      <c r="X127" s="73"/>
      <c r="Y127" s="73"/>
      <c r="Z127" s="71">
        <v>0.5386</v>
      </c>
      <c r="AA127" s="73"/>
      <c r="AB127" s="57">
        <f t="shared" si="6"/>
        <v>0.5386</v>
      </c>
      <c r="AC127" s="71">
        <v>0.4656</v>
      </c>
      <c r="AD127" s="71">
        <v>0.5656</v>
      </c>
      <c r="AE127" s="71">
        <v>0.7656</v>
      </c>
      <c r="AF127" s="73"/>
      <c r="AG127" s="58">
        <f t="shared" si="7"/>
        <v>0</v>
      </c>
      <c r="AH127" s="73"/>
    </row>
    <row r="128" ht="14.25" spans="1:34">
      <c r="A128" s="52">
        <v>126</v>
      </c>
      <c r="B128" s="61" t="s">
        <v>969</v>
      </c>
      <c r="C128" s="62" t="s">
        <v>970</v>
      </c>
      <c r="D128" s="64" t="s">
        <v>626</v>
      </c>
      <c r="E128" s="57">
        <v>16</v>
      </c>
      <c r="F128" s="52">
        <v>0.799</v>
      </c>
      <c r="G128" s="57">
        <v>0.775</v>
      </c>
      <c r="H128" s="58">
        <f t="shared" si="8"/>
        <v>0.77503</v>
      </c>
      <c r="I128" s="52">
        <v>17</v>
      </c>
      <c r="J128" s="52">
        <v>0.813</v>
      </c>
      <c r="K128" s="56">
        <v>972</v>
      </c>
      <c r="L128" s="56">
        <v>672</v>
      </c>
      <c r="M128" s="57">
        <v>0</v>
      </c>
      <c r="N128" s="57">
        <v>0</v>
      </c>
      <c r="O128" s="57">
        <v>0</v>
      </c>
      <c r="P128" s="57">
        <v>0</v>
      </c>
      <c r="Q128" s="57">
        <v>0</v>
      </c>
      <c r="R128" s="57">
        <v>0.4402</v>
      </c>
      <c r="S128" s="73"/>
      <c r="T128" s="73"/>
      <c r="U128" s="71">
        <v>0.7836</v>
      </c>
      <c r="V128" s="73"/>
      <c r="W128" s="57">
        <f t="shared" si="9"/>
        <v>0.7836</v>
      </c>
      <c r="X128" s="73"/>
      <c r="Y128" s="73"/>
      <c r="Z128" s="71">
        <v>0.5386</v>
      </c>
      <c r="AA128" s="73"/>
      <c r="AB128" s="57">
        <f t="shared" si="6"/>
        <v>0.5386</v>
      </c>
      <c r="AC128" s="71">
        <v>0.4656</v>
      </c>
      <c r="AD128" s="71">
        <v>0.5656</v>
      </c>
      <c r="AE128" s="71">
        <v>0.7656</v>
      </c>
      <c r="AF128" s="73"/>
      <c r="AG128" s="58">
        <f t="shared" si="7"/>
        <v>0</v>
      </c>
      <c r="AH128" s="73"/>
    </row>
    <row r="129" ht="14.25" spans="1:34">
      <c r="A129" s="52">
        <v>127</v>
      </c>
      <c r="B129" s="61" t="s">
        <v>969</v>
      </c>
      <c r="C129" s="62" t="s">
        <v>970</v>
      </c>
      <c r="D129" s="64" t="s">
        <v>972</v>
      </c>
      <c r="E129" s="57">
        <v>15</v>
      </c>
      <c r="F129" s="52">
        <v>0.814</v>
      </c>
      <c r="G129" s="57">
        <v>0.794</v>
      </c>
      <c r="H129" s="58">
        <f t="shared" si="8"/>
        <v>0.78958</v>
      </c>
      <c r="I129" s="52">
        <v>17</v>
      </c>
      <c r="J129" s="52">
        <v>0.805</v>
      </c>
      <c r="K129" s="56">
        <v>979</v>
      </c>
      <c r="L129" s="56">
        <v>704</v>
      </c>
      <c r="M129" s="57">
        <v>0</v>
      </c>
      <c r="N129" s="57">
        <v>0</v>
      </c>
      <c r="O129" s="57">
        <v>0</v>
      </c>
      <c r="P129" s="57">
        <v>0</v>
      </c>
      <c r="Q129" s="57">
        <v>0</v>
      </c>
      <c r="R129" s="57">
        <v>0.4402</v>
      </c>
      <c r="S129" s="73"/>
      <c r="T129" s="73"/>
      <c r="U129" s="71">
        <v>0.7836</v>
      </c>
      <c r="V129" s="73"/>
      <c r="W129" s="57">
        <f t="shared" si="9"/>
        <v>0.7836</v>
      </c>
      <c r="X129" s="73"/>
      <c r="Y129" s="73"/>
      <c r="Z129" s="71">
        <v>0.5386</v>
      </c>
      <c r="AA129" s="73"/>
      <c r="AB129" s="57">
        <f t="shared" si="6"/>
        <v>0.5386</v>
      </c>
      <c r="AC129" s="71">
        <v>0.4656</v>
      </c>
      <c r="AD129" s="71">
        <v>0.5656</v>
      </c>
      <c r="AE129" s="71">
        <v>0.7656</v>
      </c>
      <c r="AF129" s="73"/>
      <c r="AG129" s="58">
        <f t="shared" si="7"/>
        <v>0</v>
      </c>
      <c r="AH129" s="73"/>
    </row>
    <row r="130" ht="14.25" spans="1:34">
      <c r="A130" s="52">
        <v>128</v>
      </c>
      <c r="B130" s="61" t="s">
        <v>969</v>
      </c>
      <c r="C130" s="62" t="s">
        <v>970</v>
      </c>
      <c r="D130" s="64" t="s">
        <v>973</v>
      </c>
      <c r="E130" s="57">
        <v>13</v>
      </c>
      <c r="F130" s="52">
        <v>0.796</v>
      </c>
      <c r="G130" s="57">
        <v>0.786</v>
      </c>
      <c r="H130" s="58">
        <f t="shared" si="8"/>
        <v>0.77212</v>
      </c>
      <c r="I130" s="52">
        <v>14</v>
      </c>
      <c r="J130" s="52">
        <v>0.81</v>
      </c>
      <c r="K130" s="56">
        <v>978</v>
      </c>
      <c r="L130" s="56">
        <v>717</v>
      </c>
      <c r="M130" s="57">
        <v>0</v>
      </c>
      <c r="N130" s="57">
        <v>0</v>
      </c>
      <c r="O130" s="57">
        <v>0</v>
      </c>
      <c r="P130" s="57">
        <v>0</v>
      </c>
      <c r="Q130" s="57">
        <v>0</v>
      </c>
      <c r="R130" s="57">
        <v>0.4402</v>
      </c>
      <c r="S130" s="73"/>
      <c r="T130" s="73"/>
      <c r="U130" s="71">
        <v>0.7836</v>
      </c>
      <c r="V130" s="73"/>
      <c r="W130" s="57">
        <f t="shared" si="9"/>
        <v>0.7836</v>
      </c>
      <c r="X130" s="73"/>
      <c r="Y130" s="73"/>
      <c r="Z130" s="71">
        <v>0.5386</v>
      </c>
      <c r="AA130" s="73"/>
      <c r="AB130" s="57">
        <f t="shared" si="6"/>
        <v>0.5386</v>
      </c>
      <c r="AC130" s="71">
        <v>0.4656</v>
      </c>
      <c r="AD130" s="71">
        <v>0.5656</v>
      </c>
      <c r="AE130" s="71">
        <v>0.7656</v>
      </c>
      <c r="AF130" s="73"/>
      <c r="AG130" s="58">
        <f t="shared" si="7"/>
        <v>0</v>
      </c>
      <c r="AH130" s="73"/>
    </row>
    <row r="131" ht="14.25" spans="1:34">
      <c r="A131" s="52">
        <v>129</v>
      </c>
      <c r="B131" s="61" t="s">
        <v>969</v>
      </c>
      <c r="C131" s="62" t="s">
        <v>970</v>
      </c>
      <c r="D131" s="64" t="s">
        <v>974</v>
      </c>
      <c r="E131" s="57">
        <v>11</v>
      </c>
      <c r="F131" s="52">
        <v>0.763</v>
      </c>
      <c r="G131" s="57">
        <v>0.75</v>
      </c>
      <c r="H131" s="58">
        <f t="shared" si="8"/>
        <v>0.74011</v>
      </c>
      <c r="I131" s="52">
        <v>13</v>
      </c>
      <c r="J131" s="52">
        <v>0.8</v>
      </c>
      <c r="K131" s="56">
        <v>944</v>
      </c>
      <c r="L131" s="56">
        <v>703</v>
      </c>
      <c r="M131" s="57">
        <v>0</v>
      </c>
      <c r="N131" s="57">
        <v>0</v>
      </c>
      <c r="O131" s="57">
        <v>0</v>
      </c>
      <c r="P131" s="57">
        <v>0</v>
      </c>
      <c r="Q131" s="57">
        <v>0</v>
      </c>
      <c r="R131" s="57">
        <v>0.4402</v>
      </c>
      <c r="S131" s="73"/>
      <c r="T131" s="73"/>
      <c r="U131" s="71">
        <v>0.7836</v>
      </c>
      <c r="V131" s="73"/>
      <c r="W131" s="57">
        <f t="shared" si="9"/>
        <v>0.7836</v>
      </c>
      <c r="X131" s="73"/>
      <c r="Y131" s="73"/>
      <c r="Z131" s="71">
        <v>0.5386</v>
      </c>
      <c r="AA131" s="73"/>
      <c r="AB131" s="57">
        <f t="shared" si="6"/>
        <v>0.5386</v>
      </c>
      <c r="AC131" s="71">
        <v>0.4656</v>
      </c>
      <c r="AD131" s="71">
        <v>0.5656</v>
      </c>
      <c r="AE131" s="71">
        <v>0.7656</v>
      </c>
      <c r="AF131" s="73"/>
      <c r="AG131" s="58">
        <f t="shared" si="7"/>
        <v>0</v>
      </c>
      <c r="AH131" s="73"/>
    </row>
    <row r="132" ht="14.25" spans="1:34">
      <c r="A132" s="52">
        <v>130</v>
      </c>
      <c r="B132" s="61" t="s">
        <v>969</v>
      </c>
      <c r="C132" s="62" t="s">
        <v>970</v>
      </c>
      <c r="D132" s="64" t="s">
        <v>975</v>
      </c>
      <c r="E132" s="57">
        <v>12</v>
      </c>
      <c r="F132" s="52">
        <v>0.778</v>
      </c>
      <c r="G132" s="57">
        <v>0.764</v>
      </c>
      <c r="H132" s="58">
        <f t="shared" si="8"/>
        <v>0.75466</v>
      </c>
      <c r="I132" s="52">
        <v>11</v>
      </c>
      <c r="J132" s="52">
        <v>0.808</v>
      </c>
      <c r="K132" s="56">
        <v>956</v>
      </c>
      <c r="L132" s="56">
        <v>705</v>
      </c>
      <c r="M132" s="57">
        <v>0</v>
      </c>
      <c r="N132" s="57">
        <v>0</v>
      </c>
      <c r="O132" s="57">
        <v>0</v>
      </c>
      <c r="P132" s="57">
        <v>0</v>
      </c>
      <c r="Q132" s="57">
        <v>0</v>
      </c>
      <c r="R132" s="57">
        <v>0.4402</v>
      </c>
      <c r="S132" s="73"/>
      <c r="T132" s="73"/>
      <c r="U132" s="71">
        <v>0.7836</v>
      </c>
      <c r="V132" s="73"/>
      <c r="W132" s="57">
        <f t="shared" si="9"/>
        <v>0.7836</v>
      </c>
      <c r="X132" s="73"/>
      <c r="Y132" s="73"/>
      <c r="Z132" s="71">
        <v>0.5386</v>
      </c>
      <c r="AA132" s="73"/>
      <c r="AB132" s="57">
        <f t="shared" ref="AB132:AB195" si="10">IF(Y132="",Z132,Y132*0.4+Z132*0.6)</f>
        <v>0.5386</v>
      </c>
      <c r="AC132" s="71">
        <v>0.4656</v>
      </c>
      <c r="AD132" s="71">
        <v>0.5656</v>
      </c>
      <c r="AE132" s="71">
        <v>0.7656</v>
      </c>
      <c r="AF132" s="73"/>
      <c r="AG132" s="58">
        <f t="shared" ref="AG132:AG195" si="11">1-(W132-AF132)/W132</f>
        <v>0</v>
      </c>
      <c r="AH132" s="73"/>
    </row>
    <row r="133" ht="14.25" spans="1:34">
      <c r="A133" s="52">
        <v>131</v>
      </c>
      <c r="B133" s="61" t="s">
        <v>969</v>
      </c>
      <c r="C133" s="62" t="s">
        <v>970</v>
      </c>
      <c r="D133" s="64" t="s">
        <v>976</v>
      </c>
      <c r="E133" s="57">
        <v>12</v>
      </c>
      <c r="F133" s="52">
        <v>0.756</v>
      </c>
      <c r="G133" s="57">
        <v>0.743</v>
      </c>
      <c r="H133" s="58">
        <f t="shared" si="8"/>
        <v>0.73332</v>
      </c>
      <c r="I133" s="52">
        <v>11</v>
      </c>
      <c r="J133" s="52">
        <v>0.747</v>
      </c>
      <c r="K133" s="56">
        <v>939</v>
      </c>
      <c r="L133" s="56">
        <v>698</v>
      </c>
      <c r="M133" s="57">
        <v>0</v>
      </c>
      <c r="N133" s="57">
        <v>0</v>
      </c>
      <c r="O133" s="57">
        <v>0</v>
      </c>
      <c r="P133" s="57">
        <v>0</v>
      </c>
      <c r="Q133" s="57">
        <v>0</v>
      </c>
      <c r="R133" s="57">
        <v>0.4402</v>
      </c>
      <c r="S133" s="73"/>
      <c r="T133" s="73"/>
      <c r="U133" s="71">
        <v>0.7836</v>
      </c>
      <c r="V133" s="73"/>
      <c r="W133" s="57">
        <f t="shared" si="9"/>
        <v>0.7836</v>
      </c>
      <c r="X133" s="73"/>
      <c r="Y133" s="73"/>
      <c r="Z133" s="71">
        <v>0.5386</v>
      </c>
      <c r="AA133" s="73"/>
      <c r="AB133" s="57">
        <f t="shared" si="10"/>
        <v>0.5386</v>
      </c>
      <c r="AC133" s="71">
        <v>0.4656</v>
      </c>
      <c r="AD133" s="71">
        <v>0.5656</v>
      </c>
      <c r="AE133" s="71">
        <v>0.7656</v>
      </c>
      <c r="AF133" s="73"/>
      <c r="AG133" s="58">
        <f t="shared" si="11"/>
        <v>0</v>
      </c>
      <c r="AH133" s="73"/>
    </row>
    <row r="134" ht="14.25" spans="1:34">
      <c r="A134" s="52">
        <v>132</v>
      </c>
      <c r="B134" s="61" t="s">
        <v>969</v>
      </c>
      <c r="C134" s="62" t="s">
        <v>970</v>
      </c>
      <c r="D134" s="64" t="s">
        <v>977</v>
      </c>
      <c r="E134" s="57">
        <v>15</v>
      </c>
      <c r="F134" s="52">
        <v>0.797</v>
      </c>
      <c r="G134" s="57">
        <v>0.776</v>
      </c>
      <c r="H134" s="58">
        <f t="shared" si="8"/>
        <v>0.77309</v>
      </c>
      <c r="I134" s="52">
        <v>17</v>
      </c>
      <c r="J134" s="52">
        <v>0.799</v>
      </c>
      <c r="K134" s="56">
        <v>970</v>
      </c>
      <c r="L134" s="56">
        <v>698</v>
      </c>
      <c r="M134" s="57">
        <v>0</v>
      </c>
      <c r="N134" s="57">
        <v>0</v>
      </c>
      <c r="O134" s="57">
        <v>0</v>
      </c>
      <c r="P134" s="57">
        <v>0</v>
      </c>
      <c r="Q134" s="57">
        <v>0</v>
      </c>
      <c r="R134" s="57">
        <v>0.4402</v>
      </c>
      <c r="S134" s="73"/>
      <c r="T134" s="73"/>
      <c r="U134" s="71">
        <v>0.7836</v>
      </c>
      <c r="V134" s="73"/>
      <c r="W134" s="57">
        <f t="shared" si="9"/>
        <v>0.7836</v>
      </c>
      <c r="X134" s="73"/>
      <c r="Y134" s="73"/>
      <c r="Z134" s="71">
        <v>0.5386</v>
      </c>
      <c r="AA134" s="73"/>
      <c r="AB134" s="57">
        <f t="shared" si="10"/>
        <v>0.5386</v>
      </c>
      <c r="AC134" s="71">
        <v>0.4656</v>
      </c>
      <c r="AD134" s="71">
        <v>0.5656</v>
      </c>
      <c r="AE134" s="71">
        <v>0.7656</v>
      </c>
      <c r="AF134" s="73"/>
      <c r="AG134" s="58">
        <f t="shared" si="11"/>
        <v>0</v>
      </c>
      <c r="AH134" s="73"/>
    </row>
    <row r="135" ht="14.25" spans="1:34">
      <c r="A135" s="52">
        <v>133</v>
      </c>
      <c r="B135" s="61" t="s">
        <v>969</v>
      </c>
      <c r="C135" s="62" t="s">
        <v>970</v>
      </c>
      <c r="D135" s="64" t="s">
        <v>978</v>
      </c>
      <c r="E135" s="57">
        <v>12</v>
      </c>
      <c r="F135" s="52">
        <v>0.773</v>
      </c>
      <c r="G135" s="57">
        <v>0.76</v>
      </c>
      <c r="H135" s="58">
        <f t="shared" si="8"/>
        <v>0.74981</v>
      </c>
      <c r="I135" s="52">
        <v>13</v>
      </c>
      <c r="J135" s="52">
        <v>0.756</v>
      </c>
      <c r="K135" s="56">
        <v>952</v>
      </c>
      <c r="L135" s="56">
        <v>713</v>
      </c>
      <c r="M135" s="57">
        <v>0</v>
      </c>
      <c r="N135" s="57">
        <v>0</v>
      </c>
      <c r="O135" s="57">
        <v>0</v>
      </c>
      <c r="P135" s="57">
        <v>0</v>
      </c>
      <c r="Q135" s="57">
        <v>0</v>
      </c>
      <c r="R135" s="57">
        <v>0.4402</v>
      </c>
      <c r="S135" s="73"/>
      <c r="T135" s="73"/>
      <c r="U135" s="71">
        <v>0.7836</v>
      </c>
      <c r="V135" s="73"/>
      <c r="W135" s="57">
        <f t="shared" si="9"/>
        <v>0.7836</v>
      </c>
      <c r="X135" s="73"/>
      <c r="Y135" s="73"/>
      <c r="Z135" s="71">
        <v>0.5386</v>
      </c>
      <c r="AA135" s="73"/>
      <c r="AB135" s="57">
        <f t="shared" si="10"/>
        <v>0.5386</v>
      </c>
      <c r="AC135" s="71">
        <v>0.4656</v>
      </c>
      <c r="AD135" s="71">
        <v>0.5656</v>
      </c>
      <c r="AE135" s="71">
        <v>0.7656</v>
      </c>
      <c r="AF135" s="73"/>
      <c r="AG135" s="58">
        <f t="shared" si="11"/>
        <v>0</v>
      </c>
      <c r="AH135" s="73"/>
    </row>
    <row r="136" ht="14.25" spans="1:34">
      <c r="A136" s="52">
        <v>134</v>
      </c>
      <c r="B136" s="61" t="s">
        <v>969</v>
      </c>
      <c r="C136" s="62" t="s">
        <v>970</v>
      </c>
      <c r="D136" s="64" t="s">
        <v>630</v>
      </c>
      <c r="E136" s="57">
        <v>12</v>
      </c>
      <c r="F136" s="52">
        <v>0.76</v>
      </c>
      <c r="G136" s="57">
        <v>0.748</v>
      </c>
      <c r="H136" s="58">
        <f t="shared" si="8"/>
        <v>0.7372</v>
      </c>
      <c r="I136" s="52">
        <v>11</v>
      </c>
      <c r="J136" s="52">
        <v>0.75</v>
      </c>
      <c r="K136" s="56">
        <v>949</v>
      </c>
      <c r="L136" s="56">
        <v>718</v>
      </c>
      <c r="M136" s="57">
        <v>0</v>
      </c>
      <c r="N136" s="57">
        <v>0</v>
      </c>
      <c r="O136" s="57">
        <v>0</v>
      </c>
      <c r="P136" s="57">
        <v>0</v>
      </c>
      <c r="Q136" s="57">
        <v>0</v>
      </c>
      <c r="R136" s="57">
        <v>0.4402</v>
      </c>
      <c r="S136" s="73"/>
      <c r="T136" s="73"/>
      <c r="U136" s="71">
        <v>0.7836</v>
      </c>
      <c r="V136" s="73"/>
      <c r="W136" s="57">
        <f t="shared" si="9"/>
        <v>0.7836</v>
      </c>
      <c r="X136" s="73"/>
      <c r="Y136" s="73"/>
      <c r="Z136" s="71">
        <v>0.5386</v>
      </c>
      <c r="AA136" s="73"/>
      <c r="AB136" s="57">
        <f t="shared" si="10"/>
        <v>0.5386</v>
      </c>
      <c r="AC136" s="71">
        <v>0.4656</v>
      </c>
      <c r="AD136" s="71">
        <v>0.5656</v>
      </c>
      <c r="AE136" s="71">
        <v>0.7656</v>
      </c>
      <c r="AF136" s="73"/>
      <c r="AG136" s="58">
        <f t="shared" si="11"/>
        <v>0</v>
      </c>
      <c r="AH136" s="73"/>
    </row>
    <row r="137" ht="14.25" spans="1:34">
      <c r="A137" s="52">
        <v>135</v>
      </c>
      <c r="B137" s="61" t="s">
        <v>969</v>
      </c>
      <c r="C137" s="62" t="s">
        <v>970</v>
      </c>
      <c r="D137" s="64" t="s">
        <v>979</v>
      </c>
      <c r="E137" s="57">
        <v>16</v>
      </c>
      <c r="F137" s="52">
        <v>0.755</v>
      </c>
      <c r="G137" s="57">
        <v>0.736</v>
      </c>
      <c r="H137" s="58">
        <f t="shared" si="8"/>
        <v>0.73235</v>
      </c>
      <c r="I137" s="52">
        <v>12</v>
      </c>
      <c r="J137" s="52">
        <v>0.771</v>
      </c>
      <c r="K137" s="56">
        <v>932</v>
      </c>
      <c r="L137" s="56">
        <v>705</v>
      </c>
      <c r="M137" s="57">
        <v>0</v>
      </c>
      <c r="N137" s="57">
        <v>0</v>
      </c>
      <c r="O137" s="57">
        <v>0</v>
      </c>
      <c r="P137" s="57">
        <v>0</v>
      </c>
      <c r="Q137" s="57">
        <v>0</v>
      </c>
      <c r="R137" s="57">
        <v>0.4402</v>
      </c>
      <c r="S137" s="73"/>
      <c r="T137" s="73"/>
      <c r="U137" s="71">
        <v>0.7836</v>
      </c>
      <c r="V137" s="73"/>
      <c r="W137" s="57">
        <f t="shared" si="9"/>
        <v>0.7836</v>
      </c>
      <c r="X137" s="73"/>
      <c r="Y137" s="73"/>
      <c r="Z137" s="71">
        <v>0.5386</v>
      </c>
      <c r="AA137" s="73"/>
      <c r="AB137" s="57">
        <f t="shared" si="10"/>
        <v>0.5386</v>
      </c>
      <c r="AC137" s="71">
        <v>0.4656</v>
      </c>
      <c r="AD137" s="71">
        <v>0.5656</v>
      </c>
      <c r="AE137" s="71">
        <v>0.7656</v>
      </c>
      <c r="AF137" s="73"/>
      <c r="AG137" s="58">
        <f t="shared" si="11"/>
        <v>0</v>
      </c>
      <c r="AH137" s="73"/>
    </row>
    <row r="138" ht="14.25" spans="1:34">
      <c r="A138" s="52">
        <v>136</v>
      </c>
      <c r="B138" s="61" t="s">
        <v>969</v>
      </c>
      <c r="C138" s="62" t="s">
        <v>970</v>
      </c>
      <c r="D138" s="64" t="s">
        <v>629</v>
      </c>
      <c r="E138" s="57">
        <v>29</v>
      </c>
      <c r="F138" s="52">
        <v>1.437</v>
      </c>
      <c r="G138" s="57">
        <v>1.326</v>
      </c>
      <c r="H138" s="58">
        <f t="shared" si="8"/>
        <v>1.39389</v>
      </c>
      <c r="I138" s="52">
        <v>27</v>
      </c>
      <c r="J138" s="52">
        <v>1.445</v>
      </c>
      <c r="K138" s="56">
        <v>1632</v>
      </c>
      <c r="L138" s="56">
        <v>781</v>
      </c>
      <c r="M138" s="57">
        <v>0</v>
      </c>
      <c r="N138" s="57">
        <v>0</v>
      </c>
      <c r="O138" s="57">
        <v>0</v>
      </c>
      <c r="P138" s="57">
        <v>0</v>
      </c>
      <c r="Q138" s="57">
        <v>0</v>
      </c>
      <c r="R138" s="57">
        <v>0.4402</v>
      </c>
      <c r="S138" s="73"/>
      <c r="T138" s="73"/>
      <c r="U138" s="71">
        <v>0.7836</v>
      </c>
      <c r="V138" s="73"/>
      <c r="W138" s="57">
        <f t="shared" si="9"/>
        <v>0.7836</v>
      </c>
      <c r="X138" s="73"/>
      <c r="Y138" s="73"/>
      <c r="Z138" s="71">
        <v>0.5386</v>
      </c>
      <c r="AA138" s="73"/>
      <c r="AB138" s="57">
        <f t="shared" si="10"/>
        <v>0.5386</v>
      </c>
      <c r="AC138" s="71">
        <v>0.4656</v>
      </c>
      <c r="AD138" s="71">
        <v>0.5656</v>
      </c>
      <c r="AE138" s="71">
        <v>0.7656</v>
      </c>
      <c r="AF138" s="73"/>
      <c r="AG138" s="58">
        <f t="shared" si="11"/>
        <v>0</v>
      </c>
      <c r="AH138" s="73"/>
    </row>
    <row r="139" ht="14.25" spans="1:34">
      <c r="A139" s="52">
        <v>137</v>
      </c>
      <c r="B139" s="61" t="s">
        <v>969</v>
      </c>
      <c r="C139" s="62" t="s">
        <v>970</v>
      </c>
      <c r="D139" s="64" t="s">
        <v>980</v>
      </c>
      <c r="E139" s="57">
        <v>16</v>
      </c>
      <c r="F139" s="52">
        <v>0.866</v>
      </c>
      <c r="G139" s="57">
        <v>0.839</v>
      </c>
      <c r="H139" s="58">
        <f t="shared" si="8"/>
        <v>0.84002</v>
      </c>
      <c r="I139" s="52">
        <v>17</v>
      </c>
      <c r="J139" s="52">
        <v>0.849</v>
      </c>
      <c r="K139" s="56">
        <v>1048</v>
      </c>
      <c r="L139" s="56">
        <v>728</v>
      </c>
      <c r="M139" s="57">
        <v>0</v>
      </c>
      <c r="N139" s="57">
        <v>0</v>
      </c>
      <c r="O139" s="57">
        <v>0</v>
      </c>
      <c r="P139" s="57">
        <v>0</v>
      </c>
      <c r="Q139" s="57">
        <v>0</v>
      </c>
      <c r="R139" s="57">
        <v>0.4402</v>
      </c>
      <c r="S139" s="73"/>
      <c r="T139" s="73"/>
      <c r="U139" s="71">
        <v>0.7836</v>
      </c>
      <c r="V139" s="73"/>
      <c r="W139" s="57">
        <f t="shared" si="9"/>
        <v>0.7836</v>
      </c>
      <c r="X139" s="73"/>
      <c r="Y139" s="73"/>
      <c r="Z139" s="71">
        <v>0.5386</v>
      </c>
      <c r="AA139" s="73"/>
      <c r="AB139" s="57">
        <f t="shared" si="10"/>
        <v>0.5386</v>
      </c>
      <c r="AC139" s="71">
        <v>0.4656</v>
      </c>
      <c r="AD139" s="71">
        <v>0.5656</v>
      </c>
      <c r="AE139" s="71">
        <v>0.7656</v>
      </c>
      <c r="AF139" s="73"/>
      <c r="AG139" s="58">
        <f t="shared" si="11"/>
        <v>0</v>
      </c>
      <c r="AH139" s="73"/>
    </row>
    <row r="140" ht="14.25" spans="1:34">
      <c r="A140" s="52">
        <v>138</v>
      </c>
      <c r="B140" s="61" t="s">
        <v>969</v>
      </c>
      <c r="C140" s="62" t="s">
        <v>970</v>
      </c>
      <c r="D140" s="64" t="s">
        <v>981</v>
      </c>
      <c r="E140" s="57">
        <v>15</v>
      </c>
      <c r="F140" s="52">
        <v>0.823</v>
      </c>
      <c r="G140" s="57">
        <v>0.802</v>
      </c>
      <c r="H140" s="58">
        <f t="shared" si="8"/>
        <v>0.79831</v>
      </c>
      <c r="I140" s="52">
        <v>14</v>
      </c>
      <c r="J140" s="52">
        <v>0.814</v>
      </c>
      <c r="K140" s="56">
        <v>1007</v>
      </c>
      <c r="L140" s="56">
        <v>707</v>
      </c>
      <c r="M140" s="57">
        <v>0</v>
      </c>
      <c r="N140" s="57">
        <v>0</v>
      </c>
      <c r="O140" s="57">
        <v>0</v>
      </c>
      <c r="P140" s="57">
        <v>0</v>
      </c>
      <c r="Q140" s="57">
        <v>0</v>
      </c>
      <c r="R140" s="57">
        <v>0.4402</v>
      </c>
      <c r="S140" s="73"/>
      <c r="T140" s="73"/>
      <c r="U140" s="71">
        <v>0.7836</v>
      </c>
      <c r="V140" s="73"/>
      <c r="W140" s="57">
        <f t="shared" si="9"/>
        <v>0.7836</v>
      </c>
      <c r="X140" s="73"/>
      <c r="Y140" s="73"/>
      <c r="Z140" s="71">
        <v>0.5386</v>
      </c>
      <c r="AA140" s="73"/>
      <c r="AB140" s="57">
        <f t="shared" si="10"/>
        <v>0.5386</v>
      </c>
      <c r="AC140" s="71">
        <v>0.4656</v>
      </c>
      <c r="AD140" s="71">
        <v>0.5656</v>
      </c>
      <c r="AE140" s="71">
        <v>0.7656</v>
      </c>
      <c r="AF140" s="73"/>
      <c r="AG140" s="58">
        <f t="shared" si="11"/>
        <v>0</v>
      </c>
      <c r="AH140" s="73"/>
    </row>
    <row r="141" ht="14.25" spans="1:34">
      <c r="A141" s="52">
        <v>139</v>
      </c>
      <c r="B141" s="61" t="s">
        <v>969</v>
      </c>
      <c r="C141" s="62" t="s">
        <v>970</v>
      </c>
      <c r="D141" s="64" t="s">
        <v>982</v>
      </c>
      <c r="E141" s="57">
        <v>15</v>
      </c>
      <c r="F141" s="52">
        <v>0.796</v>
      </c>
      <c r="G141" s="57">
        <v>0.777</v>
      </c>
      <c r="H141" s="58">
        <f t="shared" ref="H141:H204" si="12">F141*0.97</f>
        <v>0.77212</v>
      </c>
      <c r="I141" s="52">
        <v>15</v>
      </c>
      <c r="J141" s="52">
        <v>0.789</v>
      </c>
      <c r="K141" s="56">
        <v>977</v>
      </c>
      <c r="L141" s="56">
        <v>723</v>
      </c>
      <c r="M141" s="57">
        <v>0</v>
      </c>
      <c r="N141" s="57">
        <v>0</v>
      </c>
      <c r="O141" s="57">
        <v>0</v>
      </c>
      <c r="P141" s="57">
        <v>0</v>
      </c>
      <c r="Q141" s="57">
        <v>0</v>
      </c>
      <c r="R141" s="57">
        <v>0.4402</v>
      </c>
      <c r="S141" s="73"/>
      <c r="T141" s="73"/>
      <c r="U141" s="71">
        <v>0.7836</v>
      </c>
      <c r="V141" s="73"/>
      <c r="W141" s="57">
        <f t="shared" si="9"/>
        <v>0.7836</v>
      </c>
      <c r="X141" s="73"/>
      <c r="Y141" s="73"/>
      <c r="Z141" s="71">
        <v>0.5386</v>
      </c>
      <c r="AA141" s="73"/>
      <c r="AB141" s="57">
        <f t="shared" si="10"/>
        <v>0.5386</v>
      </c>
      <c r="AC141" s="71">
        <v>0.4656</v>
      </c>
      <c r="AD141" s="71">
        <v>0.5656</v>
      </c>
      <c r="AE141" s="71">
        <v>0.7656</v>
      </c>
      <c r="AF141" s="73"/>
      <c r="AG141" s="58">
        <f t="shared" si="11"/>
        <v>0</v>
      </c>
      <c r="AH141" s="73"/>
    </row>
    <row r="142" ht="14.25" spans="1:34">
      <c r="A142" s="52">
        <v>140</v>
      </c>
      <c r="B142" s="61" t="s">
        <v>969</v>
      </c>
      <c r="C142" s="62" t="s">
        <v>970</v>
      </c>
      <c r="D142" s="64" t="s">
        <v>983</v>
      </c>
      <c r="E142" s="57">
        <v>14</v>
      </c>
      <c r="F142" s="52">
        <v>0.82</v>
      </c>
      <c r="G142" s="57">
        <v>0.8</v>
      </c>
      <c r="H142" s="58">
        <f t="shared" si="12"/>
        <v>0.7954</v>
      </c>
      <c r="I142" s="52">
        <v>16</v>
      </c>
      <c r="J142" s="52">
        <v>0.786</v>
      </c>
      <c r="K142" s="56">
        <v>990</v>
      </c>
      <c r="L142" s="56">
        <v>734</v>
      </c>
      <c r="M142" s="57">
        <v>0</v>
      </c>
      <c r="N142" s="57">
        <v>0</v>
      </c>
      <c r="O142" s="57">
        <v>0</v>
      </c>
      <c r="P142" s="57">
        <v>0</v>
      </c>
      <c r="Q142" s="57">
        <v>0</v>
      </c>
      <c r="R142" s="57">
        <v>0.4402</v>
      </c>
      <c r="S142" s="73"/>
      <c r="T142" s="73"/>
      <c r="U142" s="71">
        <v>0.7836</v>
      </c>
      <c r="V142" s="73"/>
      <c r="W142" s="57">
        <f t="shared" si="9"/>
        <v>0.7836</v>
      </c>
      <c r="X142" s="73"/>
      <c r="Y142" s="73"/>
      <c r="Z142" s="71">
        <v>0.5386</v>
      </c>
      <c r="AA142" s="73"/>
      <c r="AB142" s="57">
        <f t="shared" si="10"/>
        <v>0.5386</v>
      </c>
      <c r="AC142" s="71">
        <v>0.4656</v>
      </c>
      <c r="AD142" s="71">
        <v>0.5656</v>
      </c>
      <c r="AE142" s="71">
        <v>0.7656</v>
      </c>
      <c r="AF142" s="73"/>
      <c r="AG142" s="58">
        <f t="shared" si="11"/>
        <v>0</v>
      </c>
      <c r="AH142" s="73"/>
    </row>
    <row r="143" ht="14.25" spans="1:34">
      <c r="A143" s="52">
        <v>141</v>
      </c>
      <c r="B143" s="61" t="s">
        <v>969</v>
      </c>
      <c r="C143" s="62" t="s">
        <v>970</v>
      </c>
      <c r="D143" s="64" t="s">
        <v>984</v>
      </c>
      <c r="E143" s="57">
        <v>34</v>
      </c>
      <c r="F143" s="52">
        <v>1.358</v>
      </c>
      <c r="G143" s="57">
        <v>1.177</v>
      </c>
      <c r="H143" s="58">
        <f t="shared" si="12"/>
        <v>1.31726</v>
      </c>
      <c r="I143" s="52">
        <v>16</v>
      </c>
      <c r="J143" s="52">
        <v>0.842</v>
      </c>
      <c r="K143" s="56">
        <v>1418</v>
      </c>
      <c r="L143" s="56">
        <v>730</v>
      </c>
      <c r="M143" s="57">
        <v>0</v>
      </c>
      <c r="N143" s="57">
        <v>0</v>
      </c>
      <c r="O143" s="57">
        <v>0</v>
      </c>
      <c r="P143" s="57">
        <v>0</v>
      </c>
      <c r="Q143" s="57">
        <v>0</v>
      </c>
      <c r="R143" s="57">
        <v>0.4402</v>
      </c>
      <c r="S143" s="73"/>
      <c r="T143" s="73"/>
      <c r="U143" s="71">
        <v>0.7836</v>
      </c>
      <c r="V143" s="73"/>
      <c r="W143" s="57">
        <f t="shared" si="9"/>
        <v>0.7836</v>
      </c>
      <c r="X143" s="73"/>
      <c r="Y143" s="73"/>
      <c r="Z143" s="71">
        <v>0.5386</v>
      </c>
      <c r="AA143" s="73"/>
      <c r="AB143" s="57">
        <f t="shared" si="10"/>
        <v>0.5386</v>
      </c>
      <c r="AC143" s="71">
        <v>0.4656</v>
      </c>
      <c r="AD143" s="71">
        <v>0.5656</v>
      </c>
      <c r="AE143" s="71">
        <v>0.7656</v>
      </c>
      <c r="AF143" s="73"/>
      <c r="AG143" s="58">
        <f t="shared" si="11"/>
        <v>0</v>
      </c>
      <c r="AH143" s="73"/>
    </row>
    <row r="144" ht="14.25" spans="1:34">
      <c r="A144" s="52">
        <v>142</v>
      </c>
      <c r="B144" s="61" t="s">
        <v>969</v>
      </c>
      <c r="C144" s="62" t="s">
        <v>970</v>
      </c>
      <c r="D144" s="64" t="s">
        <v>624</v>
      </c>
      <c r="E144" s="57">
        <v>36</v>
      </c>
      <c r="F144" s="52">
        <v>1.597</v>
      </c>
      <c r="G144" s="57">
        <v>1.359</v>
      </c>
      <c r="H144" s="58">
        <f t="shared" si="12"/>
        <v>1.54909</v>
      </c>
      <c r="I144" s="52">
        <v>30</v>
      </c>
      <c r="J144" s="52">
        <v>1.203</v>
      </c>
      <c r="K144" s="56">
        <v>1618</v>
      </c>
      <c r="L144" s="56">
        <v>711</v>
      </c>
      <c r="M144" s="57">
        <v>0</v>
      </c>
      <c r="N144" s="57">
        <v>0</v>
      </c>
      <c r="O144" s="57">
        <v>0</v>
      </c>
      <c r="P144" s="57">
        <v>0</v>
      </c>
      <c r="Q144" s="57">
        <v>0</v>
      </c>
      <c r="R144" s="57">
        <v>0.4402</v>
      </c>
      <c r="S144" s="73"/>
      <c r="T144" s="73"/>
      <c r="U144" s="71">
        <v>0.7836</v>
      </c>
      <c r="V144" s="73"/>
      <c r="W144" s="57">
        <f t="shared" si="9"/>
        <v>0.7836</v>
      </c>
      <c r="X144" s="73"/>
      <c r="Y144" s="73"/>
      <c r="Z144" s="71">
        <v>0.5386</v>
      </c>
      <c r="AA144" s="73"/>
      <c r="AB144" s="57">
        <f t="shared" si="10"/>
        <v>0.5386</v>
      </c>
      <c r="AC144" s="71">
        <v>0.4656</v>
      </c>
      <c r="AD144" s="71">
        <v>0.5656</v>
      </c>
      <c r="AE144" s="71">
        <v>0.7656</v>
      </c>
      <c r="AF144" s="73"/>
      <c r="AG144" s="58">
        <f t="shared" si="11"/>
        <v>0</v>
      </c>
      <c r="AH144" s="73"/>
    </row>
    <row r="145" ht="14.25" spans="1:34">
      <c r="A145" s="52">
        <v>143</v>
      </c>
      <c r="B145" s="61" t="s">
        <v>969</v>
      </c>
      <c r="C145" s="62" t="s">
        <v>970</v>
      </c>
      <c r="D145" s="64" t="s">
        <v>985</v>
      </c>
      <c r="E145" s="57">
        <v>28</v>
      </c>
      <c r="F145" s="52">
        <v>1.147</v>
      </c>
      <c r="G145" s="57">
        <v>1.054</v>
      </c>
      <c r="H145" s="58">
        <f t="shared" si="12"/>
        <v>1.11259</v>
      </c>
      <c r="I145" s="52">
        <v>25</v>
      </c>
      <c r="J145" s="52">
        <v>1.266</v>
      </c>
      <c r="K145" s="56">
        <v>1607</v>
      </c>
      <c r="L145" s="56">
        <v>708</v>
      </c>
      <c r="M145" s="57">
        <v>0</v>
      </c>
      <c r="N145" s="57">
        <v>0</v>
      </c>
      <c r="O145" s="57">
        <v>0</v>
      </c>
      <c r="P145" s="57">
        <v>0</v>
      </c>
      <c r="Q145" s="57">
        <v>0</v>
      </c>
      <c r="R145" s="57">
        <v>0.4402</v>
      </c>
      <c r="S145" s="73"/>
      <c r="T145" s="73"/>
      <c r="U145" s="71">
        <v>0.7836</v>
      </c>
      <c r="V145" s="73"/>
      <c r="W145" s="57">
        <f t="shared" si="9"/>
        <v>0.7836</v>
      </c>
      <c r="X145" s="73"/>
      <c r="Y145" s="73"/>
      <c r="Z145" s="71">
        <v>0.5386</v>
      </c>
      <c r="AA145" s="73"/>
      <c r="AB145" s="57">
        <f t="shared" si="10"/>
        <v>0.5386</v>
      </c>
      <c r="AC145" s="71">
        <v>0.4656</v>
      </c>
      <c r="AD145" s="71">
        <v>0.5656</v>
      </c>
      <c r="AE145" s="71">
        <v>0.7656</v>
      </c>
      <c r="AF145" s="73"/>
      <c r="AG145" s="58">
        <f t="shared" si="11"/>
        <v>0</v>
      </c>
      <c r="AH145" s="73"/>
    </row>
    <row r="146" ht="14.25" spans="1:34">
      <c r="A146" s="52">
        <v>144</v>
      </c>
      <c r="B146" s="61" t="s">
        <v>969</v>
      </c>
      <c r="C146" s="62" t="s">
        <v>970</v>
      </c>
      <c r="D146" s="64" t="s">
        <v>986</v>
      </c>
      <c r="E146" s="57">
        <v>37</v>
      </c>
      <c r="F146" s="52">
        <v>1.446</v>
      </c>
      <c r="G146" s="57">
        <v>1.24</v>
      </c>
      <c r="H146" s="58">
        <f t="shared" si="12"/>
        <v>1.40262</v>
      </c>
      <c r="I146" s="52">
        <v>35</v>
      </c>
      <c r="J146" s="52">
        <v>1.523</v>
      </c>
      <c r="K146" s="56">
        <v>1497</v>
      </c>
      <c r="L146" s="56">
        <v>724</v>
      </c>
      <c r="M146" s="57">
        <v>0</v>
      </c>
      <c r="N146" s="57">
        <v>0</v>
      </c>
      <c r="O146" s="57">
        <v>0</v>
      </c>
      <c r="P146" s="57">
        <v>0</v>
      </c>
      <c r="Q146" s="57">
        <v>0</v>
      </c>
      <c r="R146" s="57">
        <v>0.4402</v>
      </c>
      <c r="S146" s="73"/>
      <c r="T146" s="73"/>
      <c r="U146" s="71">
        <v>0.7836</v>
      </c>
      <c r="V146" s="73"/>
      <c r="W146" s="57">
        <f t="shared" si="9"/>
        <v>0.7836</v>
      </c>
      <c r="X146" s="73"/>
      <c r="Y146" s="73"/>
      <c r="Z146" s="71">
        <v>0.5386</v>
      </c>
      <c r="AA146" s="73"/>
      <c r="AB146" s="57">
        <f t="shared" si="10"/>
        <v>0.5386</v>
      </c>
      <c r="AC146" s="71">
        <v>0.4656</v>
      </c>
      <c r="AD146" s="71">
        <v>0.5656</v>
      </c>
      <c r="AE146" s="71">
        <v>0.7656</v>
      </c>
      <c r="AF146" s="73"/>
      <c r="AG146" s="58">
        <f t="shared" si="11"/>
        <v>0</v>
      </c>
      <c r="AH146" s="73"/>
    </row>
    <row r="147" ht="14.25" spans="1:34">
      <c r="A147" s="52">
        <v>145</v>
      </c>
      <c r="B147" s="61" t="s">
        <v>969</v>
      </c>
      <c r="C147" s="62" t="s">
        <v>987</v>
      </c>
      <c r="D147" s="65" t="s">
        <v>634</v>
      </c>
      <c r="E147" s="57">
        <v>29</v>
      </c>
      <c r="F147" s="63">
        <v>1.338</v>
      </c>
      <c r="G147" s="57">
        <v>1.234</v>
      </c>
      <c r="H147" s="58">
        <f t="shared" si="12"/>
        <v>1.29786</v>
      </c>
      <c r="I147" s="52">
        <v>25</v>
      </c>
      <c r="J147" s="52">
        <v>1.271</v>
      </c>
      <c r="K147" s="56">
        <v>1526</v>
      </c>
      <c r="L147" s="56">
        <v>764</v>
      </c>
      <c r="M147" s="57">
        <v>0</v>
      </c>
      <c r="N147" s="57">
        <v>0</v>
      </c>
      <c r="O147" s="57">
        <v>0</v>
      </c>
      <c r="P147" s="57">
        <v>0</v>
      </c>
      <c r="Q147" s="57">
        <v>0</v>
      </c>
      <c r="R147" s="57">
        <v>0.3563</v>
      </c>
      <c r="S147" s="73"/>
      <c r="T147" s="73"/>
      <c r="U147" s="71">
        <v>0.656</v>
      </c>
      <c r="V147" s="73"/>
      <c r="W147" s="57">
        <f t="shared" si="9"/>
        <v>0.656</v>
      </c>
      <c r="X147" s="73"/>
      <c r="Y147" s="73"/>
      <c r="Z147" s="71">
        <v>0.516</v>
      </c>
      <c r="AA147" s="73"/>
      <c r="AB147" s="57">
        <f t="shared" si="10"/>
        <v>0.516</v>
      </c>
      <c r="AC147" s="71">
        <v>0.45</v>
      </c>
      <c r="AD147" s="71">
        <v>0.5</v>
      </c>
      <c r="AE147" s="71">
        <v>0.8</v>
      </c>
      <c r="AF147" s="58">
        <v>0.73</v>
      </c>
      <c r="AG147" s="58">
        <f t="shared" si="11"/>
        <v>1.11280487804878</v>
      </c>
      <c r="AH147" s="58">
        <v>0.68</v>
      </c>
    </row>
    <row r="148" ht="14.25" spans="1:34">
      <c r="A148" s="52">
        <v>146</v>
      </c>
      <c r="B148" s="61" t="s">
        <v>969</v>
      </c>
      <c r="C148" s="62" t="s">
        <v>987</v>
      </c>
      <c r="D148" s="64" t="s">
        <v>988</v>
      </c>
      <c r="E148" s="57">
        <v>28</v>
      </c>
      <c r="F148" s="52">
        <v>1.361</v>
      </c>
      <c r="G148" s="57">
        <v>1.261</v>
      </c>
      <c r="H148" s="58">
        <f t="shared" si="12"/>
        <v>1.32017</v>
      </c>
      <c r="I148" s="52">
        <v>25</v>
      </c>
      <c r="J148" s="52">
        <v>1.224</v>
      </c>
      <c r="K148" s="56">
        <v>1489</v>
      </c>
      <c r="L148" s="56">
        <v>749</v>
      </c>
      <c r="M148" s="57">
        <v>0</v>
      </c>
      <c r="N148" s="57">
        <v>0</v>
      </c>
      <c r="O148" s="57">
        <v>0</v>
      </c>
      <c r="P148" s="57">
        <v>0</v>
      </c>
      <c r="Q148" s="57">
        <v>0</v>
      </c>
      <c r="R148" s="57">
        <v>0.3563</v>
      </c>
      <c r="S148" s="73"/>
      <c r="T148" s="73"/>
      <c r="U148" s="71">
        <v>0.656</v>
      </c>
      <c r="V148" s="73"/>
      <c r="W148" s="57">
        <f t="shared" ref="W148:W211" si="13">IF(T148="",U148,T148*40%+U148*60%)</f>
        <v>0.656</v>
      </c>
      <c r="X148" s="73"/>
      <c r="Y148" s="73"/>
      <c r="Z148" s="71">
        <v>0.516</v>
      </c>
      <c r="AA148" s="73"/>
      <c r="AB148" s="57">
        <f t="shared" si="10"/>
        <v>0.516</v>
      </c>
      <c r="AC148" s="71">
        <v>0.45</v>
      </c>
      <c r="AD148" s="71">
        <v>0.5</v>
      </c>
      <c r="AE148" s="71">
        <v>0.8</v>
      </c>
      <c r="AF148" s="73"/>
      <c r="AG148" s="58">
        <f t="shared" si="11"/>
        <v>0</v>
      </c>
      <c r="AH148" s="73"/>
    </row>
    <row r="149" ht="14.25" spans="1:34">
      <c r="A149" s="52">
        <v>147</v>
      </c>
      <c r="B149" s="61" t="s">
        <v>969</v>
      </c>
      <c r="C149" s="62" t="s">
        <v>987</v>
      </c>
      <c r="D149" s="64" t="s">
        <v>989</v>
      </c>
      <c r="E149" s="57">
        <v>27</v>
      </c>
      <c r="F149" s="52">
        <v>1.358</v>
      </c>
      <c r="G149" s="57">
        <v>1.256</v>
      </c>
      <c r="H149" s="58">
        <f t="shared" si="12"/>
        <v>1.31726</v>
      </c>
      <c r="I149" s="52">
        <v>24</v>
      </c>
      <c r="J149" s="52">
        <v>1.288</v>
      </c>
      <c r="K149" s="56">
        <v>1547</v>
      </c>
      <c r="L149" s="56">
        <v>768</v>
      </c>
      <c r="M149" s="57">
        <v>0</v>
      </c>
      <c r="N149" s="57">
        <v>0</v>
      </c>
      <c r="O149" s="57">
        <v>0</v>
      </c>
      <c r="P149" s="57">
        <v>0</v>
      </c>
      <c r="Q149" s="57">
        <v>0</v>
      </c>
      <c r="R149" s="57">
        <v>0.3563</v>
      </c>
      <c r="S149" s="73"/>
      <c r="T149" s="73"/>
      <c r="U149" s="71">
        <v>0.656</v>
      </c>
      <c r="V149" s="73"/>
      <c r="W149" s="57">
        <f t="shared" si="13"/>
        <v>0.656</v>
      </c>
      <c r="X149" s="73"/>
      <c r="Y149" s="73"/>
      <c r="Z149" s="71">
        <v>0.516</v>
      </c>
      <c r="AA149" s="73"/>
      <c r="AB149" s="57">
        <f t="shared" si="10"/>
        <v>0.516</v>
      </c>
      <c r="AC149" s="71">
        <v>0.45</v>
      </c>
      <c r="AD149" s="71">
        <v>0.5</v>
      </c>
      <c r="AE149" s="71">
        <v>0.8</v>
      </c>
      <c r="AF149" s="73"/>
      <c r="AG149" s="58">
        <f t="shared" si="11"/>
        <v>0</v>
      </c>
      <c r="AH149" s="73"/>
    </row>
    <row r="150" ht="14.25" spans="1:34">
      <c r="A150" s="52">
        <v>148</v>
      </c>
      <c r="B150" s="61" t="s">
        <v>969</v>
      </c>
      <c r="C150" s="62" t="s">
        <v>987</v>
      </c>
      <c r="D150" s="64" t="s">
        <v>632</v>
      </c>
      <c r="E150" s="57">
        <v>32</v>
      </c>
      <c r="F150" s="52">
        <v>1.563</v>
      </c>
      <c r="G150" s="57">
        <v>1.408</v>
      </c>
      <c r="H150" s="58">
        <f t="shared" si="12"/>
        <v>1.51611</v>
      </c>
      <c r="I150" s="52">
        <v>29</v>
      </c>
      <c r="J150" s="52">
        <v>1.494</v>
      </c>
      <c r="K150" s="56">
        <v>1719</v>
      </c>
      <c r="L150" s="56">
        <v>748</v>
      </c>
      <c r="M150" s="57">
        <v>0</v>
      </c>
      <c r="N150" s="57">
        <v>0</v>
      </c>
      <c r="O150" s="57">
        <v>0</v>
      </c>
      <c r="P150" s="57">
        <v>0</v>
      </c>
      <c r="Q150" s="57">
        <v>0</v>
      </c>
      <c r="R150" s="57">
        <v>0.3563</v>
      </c>
      <c r="S150" s="73"/>
      <c r="T150" s="73"/>
      <c r="U150" s="71">
        <v>0.656</v>
      </c>
      <c r="V150" s="73"/>
      <c r="W150" s="57">
        <f t="shared" si="13"/>
        <v>0.656</v>
      </c>
      <c r="X150" s="73"/>
      <c r="Y150" s="73"/>
      <c r="Z150" s="71">
        <v>0.516</v>
      </c>
      <c r="AA150" s="73"/>
      <c r="AB150" s="57">
        <f t="shared" si="10"/>
        <v>0.516</v>
      </c>
      <c r="AC150" s="71">
        <v>0.45</v>
      </c>
      <c r="AD150" s="71">
        <v>0.5</v>
      </c>
      <c r="AE150" s="71">
        <v>0.8</v>
      </c>
      <c r="AF150" s="73"/>
      <c r="AG150" s="58">
        <f t="shared" si="11"/>
        <v>0</v>
      </c>
      <c r="AH150" s="73"/>
    </row>
    <row r="151" ht="14.25" spans="1:34">
      <c r="A151" s="52">
        <v>149</v>
      </c>
      <c r="B151" s="61" t="s">
        <v>969</v>
      </c>
      <c r="C151" s="62" t="s">
        <v>987</v>
      </c>
      <c r="D151" s="64" t="s">
        <v>990</v>
      </c>
      <c r="E151" s="57">
        <v>24</v>
      </c>
      <c r="F151" s="52">
        <v>1.317</v>
      </c>
      <c r="G151" s="57">
        <v>1.245</v>
      </c>
      <c r="H151" s="58">
        <f t="shared" si="12"/>
        <v>1.27749</v>
      </c>
      <c r="I151" s="52">
        <v>21</v>
      </c>
      <c r="J151" s="52">
        <v>1.25</v>
      </c>
      <c r="K151" s="56">
        <v>1555</v>
      </c>
      <c r="L151" s="56">
        <v>824</v>
      </c>
      <c r="M151" s="57">
        <v>0</v>
      </c>
      <c r="N151" s="57">
        <v>0</v>
      </c>
      <c r="O151" s="57">
        <v>0</v>
      </c>
      <c r="P151" s="57">
        <v>0</v>
      </c>
      <c r="Q151" s="57">
        <v>0</v>
      </c>
      <c r="R151" s="57">
        <v>0.3563</v>
      </c>
      <c r="S151" s="73"/>
      <c r="T151" s="73"/>
      <c r="U151" s="71">
        <v>0.656</v>
      </c>
      <c r="V151" s="73"/>
      <c r="W151" s="57">
        <f t="shared" si="13"/>
        <v>0.656</v>
      </c>
      <c r="X151" s="73"/>
      <c r="Y151" s="73"/>
      <c r="Z151" s="71">
        <v>0.516</v>
      </c>
      <c r="AA151" s="73"/>
      <c r="AB151" s="57">
        <f t="shared" si="10"/>
        <v>0.516</v>
      </c>
      <c r="AC151" s="71">
        <v>0.45</v>
      </c>
      <c r="AD151" s="71">
        <v>0.5</v>
      </c>
      <c r="AE151" s="71">
        <v>0.8</v>
      </c>
      <c r="AF151" s="73"/>
      <c r="AG151" s="58">
        <f t="shared" si="11"/>
        <v>0</v>
      </c>
      <c r="AH151" s="73"/>
    </row>
    <row r="152" ht="14.25" spans="1:34">
      <c r="A152" s="52">
        <v>150</v>
      </c>
      <c r="B152" s="61" t="s">
        <v>969</v>
      </c>
      <c r="C152" s="62" t="s">
        <v>987</v>
      </c>
      <c r="D152" s="64" t="s">
        <v>991</v>
      </c>
      <c r="E152" s="57">
        <v>29</v>
      </c>
      <c r="F152" s="52">
        <v>1.392</v>
      </c>
      <c r="G152" s="57">
        <v>1.27</v>
      </c>
      <c r="H152" s="58">
        <f t="shared" si="12"/>
        <v>1.35024</v>
      </c>
      <c r="I152" s="52">
        <v>25</v>
      </c>
      <c r="J152" s="52">
        <v>1.335</v>
      </c>
      <c r="K152" s="56">
        <v>1577</v>
      </c>
      <c r="L152" s="56">
        <v>744</v>
      </c>
      <c r="M152" s="57">
        <v>0</v>
      </c>
      <c r="N152" s="57">
        <v>0</v>
      </c>
      <c r="O152" s="57">
        <v>0</v>
      </c>
      <c r="P152" s="57">
        <v>0</v>
      </c>
      <c r="Q152" s="57">
        <v>0</v>
      </c>
      <c r="R152" s="57">
        <v>0.3563</v>
      </c>
      <c r="S152" s="73"/>
      <c r="T152" s="73"/>
      <c r="U152" s="71">
        <v>0.656</v>
      </c>
      <c r="V152" s="73"/>
      <c r="W152" s="57">
        <f t="shared" si="13"/>
        <v>0.656</v>
      </c>
      <c r="X152" s="73"/>
      <c r="Y152" s="73"/>
      <c r="Z152" s="71">
        <v>0.516</v>
      </c>
      <c r="AA152" s="73"/>
      <c r="AB152" s="57">
        <f t="shared" si="10"/>
        <v>0.516</v>
      </c>
      <c r="AC152" s="71">
        <v>0.45</v>
      </c>
      <c r="AD152" s="71">
        <v>0.5</v>
      </c>
      <c r="AE152" s="71">
        <v>0.8</v>
      </c>
      <c r="AF152" s="73"/>
      <c r="AG152" s="58">
        <f t="shared" si="11"/>
        <v>0</v>
      </c>
      <c r="AH152" s="73"/>
    </row>
    <row r="153" ht="14.25" spans="1:34">
      <c r="A153" s="52">
        <v>151</v>
      </c>
      <c r="B153" s="61" t="s">
        <v>969</v>
      </c>
      <c r="C153" s="62" t="s">
        <v>987</v>
      </c>
      <c r="D153" s="64" t="s">
        <v>992</v>
      </c>
      <c r="E153" s="57">
        <v>28</v>
      </c>
      <c r="F153" s="52">
        <v>1.419</v>
      </c>
      <c r="G153" s="57">
        <v>1.291</v>
      </c>
      <c r="H153" s="58">
        <f t="shared" si="12"/>
        <v>1.37643</v>
      </c>
      <c r="I153" s="52">
        <v>25</v>
      </c>
      <c r="J153" s="52">
        <v>1.367</v>
      </c>
      <c r="K153" s="56">
        <v>1621</v>
      </c>
      <c r="L153" s="56">
        <v>765</v>
      </c>
      <c r="M153" s="57">
        <v>0</v>
      </c>
      <c r="N153" s="57">
        <v>0</v>
      </c>
      <c r="O153" s="57">
        <v>0</v>
      </c>
      <c r="P153" s="57">
        <v>0</v>
      </c>
      <c r="Q153" s="57">
        <v>0</v>
      </c>
      <c r="R153" s="57">
        <v>0.3563</v>
      </c>
      <c r="S153" s="73"/>
      <c r="T153" s="73"/>
      <c r="U153" s="71">
        <v>0.656</v>
      </c>
      <c r="V153" s="73"/>
      <c r="W153" s="57">
        <f t="shared" si="13"/>
        <v>0.656</v>
      </c>
      <c r="X153" s="73"/>
      <c r="Y153" s="73"/>
      <c r="Z153" s="71">
        <v>0.516</v>
      </c>
      <c r="AA153" s="73"/>
      <c r="AB153" s="57">
        <f t="shared" si="10"/>
        <v>0.516</v>
      </c>
      <c r="AC153" s="71">
        <v>0.45</v>
      </c>
      <c r="AD153" s="71">
        <v>0.5</v>
      </c>
      <c r="AE153" s="71">
        <v>0.8</v>
      </c>
      <c r="AF153" s="73"/>
      <c r="AG153" s="58">
        <f t="shared" si="11"/>
        <v>0</v>
      </c>
      <c r="AH153" s="73"/>
    </row>
    <row r="154" ht="14.25" spans="1:34">
      <c r="A154" s="52">
        <v>152</v>
      </c>
      <c r="B154" s="61" t="s">
        <v>969</v>
      </c>
      <c r="C154" s="62" t="s">
        <v>987</v>
      </c>
      <c r="D154" s="64" t="s">
        <v>993</v>
      </c>
      <c r="E154" s="57">
        <v>33</v>
      </c>
      <c r="F154" s="52">
        <v>1.406</v>
      </c>
      <c r="G154" s="57">
        <v>1.261</v>
      </c>
      <c r="H154" s="58">
        <f t="shared" si="12"/>
        <v>1.36382</v>
      </c>
      <c r="I154" s="52">
        <v>27</v>
      </c>
      <c r="J154" s="52">
        <v>1.35</v>
      </c>
      <c r="K154" s="56">
        <v>1551</v>
      </c>
      <c r="L154" s="56">
        <v>753</v>
      </c>
      <c r="M154" s="57">
        <v>0</v>
      </c>
      <c r="N154" s="57">
        <v>0</v>
      </c>
      <c r="O154" s="57">
        <v>0</v>
      </c>
      <c r="P154" s="57">
        <v>0</v>
      </c>
      <c r="Q154" s="57">
        <v>0</v>
      </c>
      <c r="R154" s="57">
        <v>0.3563</v>
      </c>
      <c r="S154" s="73"/>
      <c r="T154" s="73"/>
      <c r="U154" s="71">
        <v>0.656</v>
      </c>
      <c r="V154" s="73"/>
      <c r="W154" s="57">
        <f t="shared" si="13"/>
        <v>0.656</v>
      </c>
      <c r="X154" s="73"/>
      <c r="Y154" s="73"/>
      <c r="Z154" s="71">
        <v>0.516</v>
      </c>
      <c r="AA154" s="73"/>
      <c r="AB154" s="57">
        <f t="shared" si="10"/>
        <v>0.516</v>
      </c>
      <c r="AC154" s="71">
        <v>0.45</v>
      </c>
      <c r="AD154" s="71">
        <v>0.5</v>
      </c>
      <c r="AE154" s="71">
        <v>0.8</v>
      </c>
      <c r="AF154" s="73"/>
      <c r="AG154" s="58">
        <f t="shared" si="11"/>
        <v>0</v>
      </c>
      <c r="AH154" s="73"/>
    </row>
    <row r="155" ht="14.25" spans="1:34">
      <c r="A155" s="52">
        <v>153</v>
      </c>
      <c r="B155" s="61" t="s">
        <v>969</v>
      </c>
      <c r="C155" s="62" t="s">
        <v>987</v>
      </c>
      <c r="D155" s="64" t="s">
        <v>994</v>
      </c>
      <c r="E155" s="57">
        <v>35</v>
      </c>
      <c r="F155" s="52">
        <v>1.452</v>
      </c>
      <c r="G155" s="57">
        <v>1.277</v>
      </c>
      <c r="H155" s="58">
        <f t="shared" si="12"/>
        <v>1.40844</v>
      </c>
      <c r="I155" s="52">
        <v>28</v>
      </c>
      <c r="J155" s="52">
        <v>1.446</v>
      </c>
      <c r="K155" s="56">
        <v>1495</v>
      </c>
      <c r="L155" s="56">
        <v>739</v>
      </c>
      <c r="M155" s="57">
        <v>0</v>
      </c>
      <c r="N155" s="57">
        <v>0</v>
      </c>
      <c r="O155" s="57">
        <v>0</v>
      </c>
      <c r="P155" s="57">
        <v>0</v>
      </c>
      <c r="Q155" s="57">
        <v>0</v>
      </c>
      <c r="R155" s="57">
        <v>0.3563</v>
      </c>
      <c r="S155" s="73"/>
      <c r="T155" s="73"/>
      <c r="U155" s="71">
        <v>0.656</v>
      </c>
      <c r="V155" s="73"/>
      <c r="W155" s="57">
        <f t="shared" si="13"/>
        <v>0.656</v>
      </c>
      <c r="X155" s="73"/>
      <c r="Y155" s="73"/>
      <c r="Z155" s="71">
        <v>0.516</v>
      </c>
      <c r="AA155" s="73"/>
      <c r="AB155" s="57">
        <f t="shared" si="10"/>
        <v>0.516</v>
      </c>
      <c r="AC155" s="71">
        <v>0.45</v>
      </c>
      <c r="AD155" s="71">
        <v>0.5</v>
      </c>
      <c r="AE155" s="71">
        <v>0.8</v>
      </c>
      <c r="AF155" s="73"/>
      <c r="AG155" s="58">
        <f t="shared" si="11"/>
        <v>0</v>
      </c>
      <c r="AH155" s="73"/>
    </row>
    <row r="156" ht="14.25" spans="1:34">
      <c r="A156" s="52">
        <v>154</v>
      </c>
      <c r="B156" s="61" t="s">
        <v>969</v>
      </c>
      <c r="C156" s="62" t="s">
        <v>987</v>
      </c>
      <c r="D156" s="64" t="s">
        <v>995</v>
      </c>
      <c r="E156" s="57">
        <v>28</v>
      </c>
      <c r="F156" s="52">
        <v>1.368</v>
      </c>
      <c r="G156" s="57">
        <v>1.262</v>
      </c>
      <c r="H156" s="58">
        <f t="shared" si="12"/>
        <v>1.32696</v>
      </c>
      <c r="I156" s="52">
        <v>25</v>
      </c>
      <c r="J156" s="52">
        <v>1.296</v>
      </c>
      <c r="K156" s="56">
        <v>1558</v>
      </c>
      <c r="L156" s="56">
        <v>783</v>
      </c>
      <c r="M156" s="57">
        <v>0</v>
      </c>
      <c r="N156" s="57">
        <v>0</v>
      </c>
      <c r="O156" s="57">
        <v>0</v>
      </c>
      <c r="P156" s="57">
        <v>0</v>
      </c>
      <c r="Q156" s="57">
        <v>0</v>
      </c>
      <c r="R156" s="57">
        <v>0.3563</v>
      </c>
      <c r="S156" s="73"/>
      <c r="T156" s="73"/>
      <c r="U156" s="71">
        <v>0.656</v>
      </c>
      <c r="V156" s="73"/>
      <c r="W156" s="57">
        <f t="shared" si="13"/>
        <v>0.656</v>
      </c>
      <c r="X156" s="73"/>
      <c r="Y156" s="73"/>
      <c r="Z156" s="71">
        <v>0.516</v>
      </c>
      <c r="AA156" s="73"/>
      <c r="AB156" s="57">
        <f t="shared" si="10"/>
        <v>0.516</v>
      </c>
      <c r="AC156" s="71">
        <v>0.45</v>
      </c>
      <c r="AD156" s="71">
        <v>0.5</v>
      </c>
      <c r="AE156" s="71">
        <v>0.8</v>
      </c>
      <c r="AF156" s="73"/>
      <c r="AG156" s="58">
        <f t="shared" si="11"/>
        <v>0</v>
      </c>
      <c r="AH156" s="73"/>
    </row>
    <row r="157" ht="14.25" spans="1:34">
      <c r="A157" s="52">
        <v>155</v>
      </c>
      <c r="B157" s="61" t="s">
        <v>969</v>
      </c>
      <c r="C157" s="62" t="s">
        <v>987</v>
      </c>
      <c r="D157" s="64" t="s">
        <v>996</v>
      </c>
      <c r="E157" s="57">
        <v>26</v>
      </c>
      <c r="F157" s="52">
        <v>1.308</v>
      </c>
      <c r="G157" s="57">
        <v>1.22</v>
      </c>
      <c r="H157" s="58">
        <f t="shared" si="12"/>
        <v>1.26876</v>
      </c>
      <c r="I157" s="52">
        <v>22</v>
      </c>
      <c r="J157" s="52">
        <v>1.225</v>
      </c>
      <c r="K157" s="56">
        <v>1484</v>
      </c>
      <c r="L157" s="56">
        <v>749</v>
      </c>
      <c r="M157" s="57">
        <v>0</v>
      </c>
      <c r="N157" s="57">
        <v>0</v>
      </c>
      <c r="O157" s="57">
        <v>0</v>
      </c>
      <c r="P157" s="57">
        <v>0</v>
      </c>
      <c r="Q157" s="57">
        <v>0</v>
      </c>
      <c r="R157" s="57">
        <v>0.3563</v>
      </c>
      <c r="S157" s="73"/>
      <c r="T157" s="73"/>
      <c r="U157" s="71">
        <v>0.656</v>
      </c>
      <c r="V157" s="73"/>
      <c r="W157" s="57">
        <f t="shared" si="13"/>
        <v>0.656</v>
      </c>
      <c r="X157" s="73"/>
      <c r="Y157" s="73"/>
      <c r="Z157" s="71">
        <v>0.516</v>
      </c>
      <c r="AA157" s="73"/>
      <c r="AB157" s="57">
        <f t="shared" si="10"/>
        <v>0.516</v>
      </c>
      <c r="AC157" s="71">
        <v>0.45</v>
      </c>
      <c r="AD157" s="71">
        <v>0.5</v>
      </c>
      <c r="AE157" s="71">
        <v>0.8</v>
      </c>
      <c r="AF157" s="73"/>
      <c r="AG157" s="58">
        <f t="shared" si="11"/>
        <v>0</v>
      </c>
      <c r="AH157" s="73"/>
    </row>
    <row r="158" ht="14.25" spans="1:34">
      <c r="A158" s="52">
        <v>156</v>
      </c>
      <c r="B158" s="61" t="s">
        <v>969</v>
      </c>
      <c r="C158" s="62" t="s">
        <v>987</v>
      </c>
      <c r="D158" s="64" t="s">
        <v>997</v>
      </c>
      <c r="E158" s="57">
        <v>31</v>
      </c>
      <c r="F158" s="52">
        <v>1.433</v>
      </c>
      <c r="G158" s="57">
        <v>1.305</v>
      </c>
      <c r="H158" s="58">
        <f t="shared" si="12"/>
        <v>1.39001</v>
      </c>
      <c r="I158" s="52">
        <v>27</v>
      </c>
      <c r="J158" s="52">
        <v>1.416</v>
      </c>
      <c r="K158" s="56">
        <v>1607</v>
      </c>
      <c r="L158" s="56">
        <v>766</v>
      </c>
      <c r="M158" s="57">
        <v>0</v>
      </c>
      <c r="N158" s="57">
        <v>0</v>
      </c>
      <c r="O158" s="57">
        <v>0</v>
      </c>
      <c r="P158" s="57">
        <v>0</v>
      </c>
      <c r="Q158" s="57">
        <v>0</v>
      </c>
      <c r="R158" s="57">
        <v>0.3563</v>
      </c>
      <c r="S158" s="73"/>
      <c r="T158" s="73"/>
      <c r="U158" s="71">
        <v>0.656</v>
      </c>
      <c r="V158" s="73"/>
      <c r="W158" s="57">
        <f t="shared" si="13"/>
        <v>0.656</v>
      </c>
      <c r="X158" s="73"/>
      <c r="Y158" s="73"/>
      <c r="Z158" s="71">
        <v>0.516</v>
      </c>
      <c r="AA158" s="73"/>
      <c r="AB158" s="57">
        <f t="shared" si="10"/>
        <v>0.516</v>
      </c>
      <c r="AC158" s="71">
        <v>0.45</v>
      </c>
      <c r="AD158" s="71">
        <v>0.5</v>
      </c>
      <c r="AE158" s="71">
        <v>0.8</v>
      </c>
      <c r="AF158" s="73"/>
      <c r="AG158" s="58">
        <f t="shared" si="11"/>
        <v>0</v>
      </c>
      <c r="AH158" s="73"/>
    </row>
    <row r="159" ht="14.25" spans="1:34">
      <c r="A159" s="52">
        <v>157</v>
      </c>
      <c r="B159" s="61" t="s">
        <v>969</v>
      </c>
      <c r="C159" s="62" t="s">
        <v>987</v>
      </c>
      <c r="D159" s="64" t="s">
        <v>998</v>
      </c>
      <c r="E159" s="57">
        <v>24</v>
      </c>
      <c r="F159" s="52">
        <v>1.343</v>
      </c>
      <c r="G159" s="57">
        <v>1.253</v>
      </c>
      <c r="H159" s="58">
        <f t="shared" si="12"/>
        <v>1.30271</v>
      </c>
      <c r="I159" s="52">
        <v>23</v>
      </c>
      <c r="J159" s="52">
        <v>1.314</v>
      </c>
      <c r="K159" s="56">
        <v>1563</v>
      </c>
      <c r="L159" s="56">
        <v>770</v>
      </c>
      <c r="M159" s="57">
        <v>0</v>
      </c>
      <c r="N159" s="57">
        <v>0</v>
      </c>
      <c r="O159" s="57">
        <v>0</v>
      </c>
      <c r="P159" s="57">
        <v>0</v>
      </c>
      <c r="Q159" s="57">
        <v>0</v>
      </c>
      <c r="R159" s="57">
        <v>0.3563</v>
      </c>
      <c r="S159" s="73"/>
      <c r="T159" s="73"/>
      <c r="U159" s="71">
        <v>0.656</v>
      </c>
      <c r="V159" s="73"/>
      <c r="W159" s="57">
        <f t="shared" si="13"/>
        <v>0.656</v>
      </c>
      <c r="X159" s="73"/>
      <c r="Y159" s="73"/>
      <c r="Z159" s="71">
        <v>0.516</v>
      </c>
      <c r="AA159" s="73"/>
      <c r="AB159" s="57">
        <f t="shared" si="10"/>
        <v>0.516</v>
      </c>
      <c r="AC159" s="71">
        <v>0.45</v>
      </c>
      <c r="AD159" s="71">
        <v>0.5</v>
      </c>
      <c r="AE159" s="71">
        <v>0.8</v>
      </c>
      <c r="AF159" s="73"/>
      <c r="AG159" s="58">
        <f t="shared" si="11"/>
        <v>0</v>
      </c>
      <c r="AH159" s="73"/>
    </row>
    <row r="160" ht="14.25" spans="1:34">
      <c r="A160" s="52">
        <v>158</v>
      </c>
      <c r="B160" s="61" t="s">
        <v>969</v>
      </c>
      <c r="C160" s="62" t="s">
        <v>987</v>
      </c>
      <c r="D160" s="64" t="s">
        <v>999</v>
      </c>
      <c r="E160" s="57">
        <v>31</v>
      </c>
      <c r="F160" s="52">
        <v>1.418</v>
      </c>
      <c r="G160" s="57">
        <v>1.28</v>
      </c>
      <c r="H160" s="58">
        <f t="shared" si="12"/>
        <v>1.37546</v>
      </c>
      <c r="I160" s="52">
        <v>29</v>
      </c>
      <c r="J160" s="52">
        <v>1.344</v>
      </c>
      <c r="K160" s="56">
        <v>1582</v>
      </c>
      <c r="L160" s="56">
        <v>739</v>
      </c>
      <c r="M160" s="57">
        <v>0</v>
      </c>
      <c r="N160" s="57">
        <v>0</v>
      </c>
      <c r="O160" s="57">
        <v>0</v>
      </c>
      <c r="P160" s="57">
        <v>0</v>
      </c>
      <c r="Q160" s="57">
        <v>0</v>
      </c>
      <c r="R160" s="57">
        <v>0.3563</v>
      </c>
      <c r="S160" s="73"/>
      <c r="T160" s="73"/>
      <c r="U160" s="71">
        <v>0.656</v>
      </c>
      <c r="V160" s="73"/>
      <c r="W160" s="57">
        <f t="shared" si="13"/>
        <v>0.656</v>
      </c>
      <c r="X160" s="73"/>
      <c r="Y160" s="73"/>
      <c r="Z160" s="71">
        <v>0.516</v>
      </c>
      <c r="AA160" s="73"/>
      <c r="AB160" s="57">
        <f t="shared" si="10"/>
        <v>0.516</v>
      </c>
      <c r="AC160" s="71">
        <v>0.45</v>
      </c>
      <c r="AD160" s="71">
        <v>0.5</v>
      </c>
      <c r="AE160" s="71">
        <v>0.8</v>
      </c>
      <c r="AF160" s="73"/>
      <c r="AG160" s="58">
        <f t="shared" si="11"/>
        <v>0</v>
      </c>
      <c r="AH160" s="73"/>
    </row>
    <row r="161" ht="14.25" spans="1:34">
      <c r="A161" s="52">
        <v>159</v>
      </c>
      <c r="B161" s="61" t="s">
        <v>969</v>
      </c>
      <c r="C161" s="62" t="s">
        <v>987</v>
      </c>
      <c r="D161" s="64" t="s">
        <v>1000</v>
      </c>
      <c r="E161" s="57">
        <v>26</v>
      </c>
      <c r="F161" s="52">
        <v>1.337</v>
      </c>
      <c r="G161" s="57">
        <v>1.251</v>
      </c>
      <c r="H161" s="58">
        <f t="shared" si="12"/>
        <v>1.29689</v>
      </c>
      <c r="I161" s="52">
        <v>22</v>
      </c>
      <c r="J161" s="52">
        <v>1.303</v>
      </c>
      <c r="K161" s="56">
        <v>1562</v>
      </c>
      <c r="L161" s="56">
        <v>786</v>
      </c>
      <c r="M161" s="57">
        <v>0</v>
      </c>
      <c r="N161" s="57">
        <v>0</v>
      </c>
      <c r="O161" s="57">
        <v>0</v>
      </c>
      <c r="P161" s="57">
        <v>0</v>
      </c>
      <c r="Q161" s="57">
        <v>0</v>
      </c>
      <c r="R161" s="57">
        <v>0.3563</v>
      </c>
      <c r="S161" s="73"/>
      <c r="T161" s="73"/>
      <c r="U161" s="71">
        <v>0.656</v>
      </c>
      <c r="V161" s="73"/>
      <c r="W161" s="57">
        <f t="shared" si="13"/>
        <v>0.656</v>
      </c>
      <c r="X161" s="73"/>
      <c r="Y161" s="73"/>
      <c r="Z161" s="71">
        <v>0.516</v>
      </c>
      <c r="AA161" s="73"/>
      <c r="AB161" s="57">
        <f t="shared" si="10"/>
        <v>0.516</v>
      </c>
      <c r="AC161" s="71">
        <v>0.45</v>
      </c>
      <c r="AD161" s="71">
        <v>0.5</v>
      </c>
      <c r="AE161" s="71">
        <v>0.8</v>
      </c>
      <c r="AF161" s="73"/>
      <c r="AG161" s="58">
        <f t="shared" si="11"/>
        <v>0</v>
      </c>
      <c r="AH161" s="73"/>
    </row>
    <row r="162" ht="14.25" spans="1:34">
      <c r="A162" s="52">
        <v>160</v>
      </c>
      <c r="B162" s="61" t="s">
        <v>969</v>
      </c>
      <c r="C162" s="62" t="s">
        <v>987</v>
      </c>
      <c r="D162" s="64" t="s">
        <v>1001</v>
      </c>
      <c r="E162" s="57">
        <v>22</v>
      </c>
      <c r="F162" s="52">
        <v>1.301</v>
      </c>
      <c r="G162" s="57">
        <v>1.234</v>
      </c>
      <c r="H162" s="58">
        <f t="shared" si="12"/>
        <v>1.26197</v>
      </c>
      <c r="I162" s="52">
        <v>20</v>
      </c>
      <c r="J162" s="52">
        <v>1.291</v>
      </c>
      <c r="K162" s="56">
        <v>1567</v>
      </c>
      <c r="L162" s="56">
        <v>839</v>
      </c>
      <c r="M162" s="57">
        <v>0</v>
      </c>
      <c r="N162" s="57">
        <v>0</v>
      </c>
      <c r="O162" s="57">
        <v>0</v>
      </c>
      <c r="P162" s="57">
        <v>0</v>
      </c>
      <c r="Q162" s="57">
        <v>0</v>
      </c>
      <c r="R162" s="57">
        <v>0.3563</v>
      </c>
      <c r="S162" s="73"/>
      <c r="T162" s="73"/>
      <c r="U162" s="71">
        <v>0.656</v>
      </c>
      <c r="V162" s="73"/>
      <c r="W162" s="57">
        <f t="shared" si="13"/>
        <v>0.656</v>
      </c>
      <c r="X162" s="73"/>
      <c r="Y162" s="73"/>
      <c r="Z162" s="71">
        <v>0.516</v>
      </c>
      <c r="AA162" s="73"/>
      <c r="AB162" s="57">
        <f t="shared" si="10"/>
        <v>0.516</v>
      </c>
      <c r="AC162" s="71">
        <v>0.45</v>
      </c>
      <c r="AD162" s="71">
        <v>0.5</v>
      </c>
      <c r="AE162" s="71">
        <v>0.8</v>
      </c>
      <c r="AF162" s="73"/>
      <c r="AG162" s="58">
        <f t="shared" si="11"/>
        <v>0</v>
      </c>
      <c r="AH162" s="73"/>
    </row>
    <row r="163" ht="14.25" spans="1:34">
      <c r="A163" s="52">
        <v>161</v>
      </c>
      <c r="B163" s="61" t="s">
        <v>969</v>
      </c>
      <c r="C163" s="62" t="s">
        <v>1002</v>
      </c>
      <c r="D163" s="65" t="s">
        <v>631</v>
      </c>
      <c r="E163" s="57">
        <v>24</v>
      </c>
      <c r="F163" s="63">
        <v>1.013</v>
      </c>
      <c r="G163" s="57">
        <v>0.948</v>
      </c>
      <c r="H163" s="58">
        <f t="shared" si="12"/>
        <v>0.98261</v>
      </c>
      <c r="I163" s="52">
        <v>15</v>
      </c>
      <c r="J163" s="52">
        <v>0.852</v>
      </c>
      <c r="K163" s="56">
        <v>1167</v>
      </c>
      <c r="L163" s="56">
        <v>713</v>
      </c>
      <c r="M163" s="57">
        <v>0</v>
      </c>
      <c r="N163" s="57">
        <v>0</v>
      </c>
      <c r="O163" s="57">
        <v>0</v>
      </c>
      <c r="P163" s="57">
        <v>0</v>
      </c>
      <c r="Q163" s="57">
        <v>0</v>
      </c>
      <c r="R163" s="57">
        <v>0.3709</v>
      </c>
      <c r="S163" s="71"/>
      <c r="T163" s="71"/>
      <c r="U163" s="71">
        <v>0.472</v>
      </c>
      <c r="V163" s="71"/>
      <c r="W163" s="57">
        <f t="shared" si="13"/>
        <v>0.472</v>
      </c>
      <c r="X163" s="71"/>
      <c r="Y163" s="71"/>
      <c r="Z163" s="71">
        <v>0.5497</v>
      </c>
      <c r="AA163" s="71"/>
      <c r="AB163" s="57">
        <f t="shared" si="10"/>
        <v>0.5497</v>
      </c>
      <c r="AC163" s="71">
        <v>0.4456</v>
      </c>
      <c r="AD163" s="71">
        <v>0.4956</v>
      </c>
      <c r="AE163" s="71">
        <v>0.7456</v>
      </c>
      <c r="AF163" s="73"/>
      <c r="AG163" s="58">
        <f t="shared" si="11"/>
        <v>0</v>
      </c>
      <c r="AH163" s="73"/>
    </row>
    <row r="164" ht="14.25" spans="1:34">
      <c r="A164" s="52">
        <v>162</v>
      </c>
      <c r="B164" s="61" t="s">
        <v>969</v>
      </c>
      <c r="C164" s="62" t="s">
        <v>1002</v>
      </c>
      <c r="D164" s="64" t="s">
        <v>1003</v>
      </c>
      <c r="E164" s="57">
        <v>23</v>
      </c>
      <c r="F164" s="52">
        <v>1.131</v>
      </c>
      <c r="G164" s="57">
        <v>1.071</v>
      </c>
      <c r="H164" s="58">
        <f t="shared" si="12"/>
        <v>1.09707</v>
      </c>
      <c r="I164" s="52">
        <v>22</v>
      </c>
      <c r="J164" s="52">
        <v>1.107</v>
      </c>
      <c r="K164" s="56">
        <v>1308</v>
      </c>
      <c r="L164" s="56">
        <v>760</v>
      </c>
      <c r="M164" s="57">
        <v>0</v>
      </c>
      <c r="N164" s="57">
        <v>0</v>
      </c>
      <c r="O164" s="57">
        <v>0</v>
      </c>
      <c r="P164" s="57">
        <v>0</v>
      </c>
      <c r="Q164" s="57">
        <v>0</v>
      </c>
      <c r="R164" s="57">
        <v>0.3709</v>
      </c>
      <c r="S164" s="71"/>
      <c r="T164" s="71"/>
      <c r="U164" s="71">
        <v>0.472</v>
      </c>
      <c r="V164" s="71"/>
      <c r="W164" s="57">
        <f t="shared" si="13"/>
        <v>0.472</v>
      </c>
      <c r="X164" s="71"/>
      <c r="Y164" s="71"/>
      <c r="Z164" s="71">
        <v>0.5497</v>
      </c>
      <c r="AA164" s="71"/>
      <c r="AB164" s="57">
        <f t="shared" si="10"/>
        <v>0.5497</v>
      </c>
      <c r="AC164" s="71">
        <v>0.4456</v>
      </c>
      <c r="AD164" s="71">
        <v>0.4956</v>
      </c>
      <c r="AE164" s="71">
        <v>0.7456</v>
      </c>
      <c r="AF164" s="73"/>
      <c r="AG164" s="58">
        <f t="shared" si="11"/>
        <v>0</v>
      </c>
      <c r="AH164" s="73"/>
    </row>
    <row r="165" ht="14.25" spans="1:34">
      <c r="A165" s="52">
        <v>163</v>
      </c>
      <c r="B165" s="61" t="s">
        <v>969</v>
      </c>
      <c r="C165" s="62" t="s">
        <v>1002</v>
      </c>
      <c r="D165" s="64" t="s">
        <v>1004</v>
      </c>
      <c r="E165" s="57">
        <v>16</v>
      </c>
      <c r="F165" s="52">
        <v>0.867</v>
      </c>
      <c r="G165" s="57">
        <v>0.841</v>
      </c>
      <c r="H165" s="58">
        <f t="shared" si="12"/>
        <v>0.84099</v>
      </c>
      <c r="I165" s="52">
        <v>13</v>
      </c>
      <c r="J165" s="52">
        <v>0.805</v>
      </c>
      <c r="K165" s="56">
        <v>1034</v>
      </c>
      <c r="L165" s="56">
        <v>699</v>
      </c>
      <c r="M165" s="57">
        <v>0</v>
      </c>
      <c r="N165" s="57">
        <v>0</v>
      </c>
      <c r="O165" s="57">
        <v>0</v>
      </c>
      <c r="P165" s="57">
        <v>0</v>
      </c>
      <c r="Q165" s="57">
        <v>0</v>
      </c>
      <c r="R165" s="57">
        <v>0.3709</v>
      </c>
      <c r="S165" s="71"/>
      <c r="T165" s="71"/>
      <c r="U165" s="71">
        <v>0.472</v>
      </c>
      <c r="V165" s="71"/>
      <c r="W165" s="57">
        <f t="shared" si="13"/>
        <v>0.472</v>
      </c>
      <c r="X165" s="71"/>
      <c r="Y165" s="71"/>
      <c r="Z165" s="71">
        <v>0.5497</v>
      </c>
      <c r="AA165" s="71"/>
      <c r="AB165" s="57">
        <f t="shared" si="10"/>
        <v>0.5497</v>
      </c>
      <c r="AC165" s="71">
        <v>0.4456</v>
      </c>
      <c r="AD165" s="71">
        <v>0.4956</v>
      </c>
      <c r="AE165" s="71">
        <v>0.7456</v>
      </c>
      <c r="AF165" s="73"/>
      <c r="AG165" s="58">
        <f t="shared" si="11"/>
        <v>0</v>
      </c>
      <c r="AH165" s="73"/>
    </row>
    <row r="166" ht="14.25" spans="1:34">
      <c r="A166" s="52">
        <v>164</v>
      </c>
      <c r="B166" s="61" t="s">
        <v>969</v>
      </c>
      <c r="C166" s="62" t="s">
        <v>1002</v>
      </c>
      <c r="D166" s="64" t="s">
        <v>1005</v>
      </c>
      <c r="E166" s="57">
        <v>21</v>
      </c>
      <c r="F166" s="52">
        <v>0.98</v>
      </c>
      <c r="G166" s="57">
        <v>0.933</v>
      </c>
      <c r="H166" s="58">
        <f t="shared" si="12"/>
        <v>0.9506</v>
      </c>
      <c r="I166" s="52">
        <v>13</v>
      </c>
      <c r="J166" s="52">
        <v>0.879</v>
      </c>
      <c r="K166" s="56">
        <v>1148</v>
      </c>
      <c r="L166" s="56">
        <v>706</v>
      </c>
      <c r="M166" s="57">
        <v>0</v>
      </c>
      <c r="N166" s="57">
        <v>0</v>
      </c>
      <c r="O166" s="57">
        <v>0</v>
      </c>
      <c r="P166" s="57">
        <v>0</v>
      </c>
      <c r="Q166" s="57">
        <v>0</v>
      </c>
      <c r="R166" s="57">
        <v>0.3709</v>
      </c>
      <c r="S166" s="71"/>
      <c r="T166" s="71"/>
      <c r="U166" s="71">
        <v>0.472</v>
      </c>
      <c r="V166" s="71"/>
      <c r="W166" s="57">
        <f t="shared" si="13"/>
        <v>0.472</v>
      </c>
      <c r="X166" s="71"/>
      <c r="Y166" s="71"/>
      <c r="Z166" s="71">
        <v>0.5497</v>
      </c>
      <c r="AA166" s="71"/>
      <c r="AB166" s="57">
        <f t="shared" si="10"/>
        <v>0.5497</v>
      </c>
      <c r="AC166" s="71">
        <v>0.4456</v>
      </c>
      <c r="AD166" s="71">
        <v>0.4956</v>
      </c>
      <c r="AE166" s="71">
        <v>0.7456</v>
      </c>
      <c r="AF166" s="73"/>
      <c r="AG166" s="58">
        <f t="shared" si="11"/>
        <v>0</v>
      </c>
      <c r="AH166" s="73"/>
    </row>
    <row r="167" ht="14.25" spans="1:34">
      <c r="A167" s="52">
        <v>165</v>
      </c>
      <c r="B167" s="61" t="s">
        <v>969</v>
      </c>
      <c r="C167" s="62" t="s">
        <v>1002</v>
      </c>
      <c r="D167" s="64" t="s">
        <v>1006</v>
      </c>
      <c r="E167" s="57">
        <v>19</v>
      </c>
      <c r="F167" s="52">
        <v>1.005</v>
      </c>
      <c r="G167" s="57">
        <v>0.967</v>
      </c>
      <c r="H167" s="58">
        <f t="shared" si="12"/>
        <v>0.97485</v>
      </c>
      <c r="I167" s="52">
        <v>21</v>
      </c>
      <c r="J167" s="52">
        <v>1.086</v>
      </c>
      <c r="K167" s="56">
        <v>1179</v>
      </c>
      <c r="L167" s="56">
        <v>729</v>
      </c>
      <c r="M167" s="57">
        <v>0</v>
      </c>
      <c r="N167" s="57">
        <v>0</v>
      </c>
      <c r="O167" s="57">
        <v>0</v>
      </c>
      <c r="P167" s="57">
        <v>0</v>
      </c>
      <c r="Q167" s="57">
        <v>0</v>
      </c>
      <c r="R167" s="57">
        <v>0.3709</v>
      </c>
      <c r="S167" s="71"/>
      <c r="T167" s="71"/>
      <c r="U167" s="71">
        <v>0.472</v>
      </c>
      <c r="V167" s="71"/>
      <c r="W167" s="57">
        <f t="shared" si="13"/>
        <v>0.472</v>
      </c>
      <c r="X167" s="71"/>
      <c r="Y167" s="71"/>
      <c r="Z167" s="71">
        <v>0.5497</v>
      </c>
      <c r="AA167" s="71"/>
      <c r="AB167" s="57">
        <f t="shared" si="10"/>
        <v>0.5497</v>
      </c>
      <c r="AC167" s="71">
        <v>0.4456</v>
      </c>
      <c r="AD167" s="71">
        <v>0.4956</v>
      </c>
      <c r="AE167" s="71">
        <v>0.7456</v>
      </c>
      <c r="AF167" s="73"/>
      <c r="AG167" s="58">
        <f t="shared" si="11"/>
        <v>0</v>
      </c>
      <c r="AH167" s="73"/>
    </row>
    <row r="168" ht="14.25" spans="1:34">
      <c r="A168" s="52">
        <v>166</v>
      </c>
      <c r="B168" s="61" t="s">
        <v>969</v>
      </c>
      <c r="C168" s="62" t="s">
        <v>1002</v>
      </c>
      <c r="D168" s="64" t="s">
        <v>1007</v>
      </c>
      <c r="E168" s="57">
        <v>19</v>
      </c>
      <c r="F168" s="52">
        <v>0.886</v>
      </c>
      <c r="G168" s="57">
        <v>0.859</v>
      </c>
      <c r="H168" s="58">
        <f t="shared" si="12"/>
        <v>0.85942</v>
      </c>
      <c r="I168" s="52">
        <v>20</v>
      </c>
      <c r="J168" s="52">
        <v>1.111</v>
      </c>
      <c r="K168" s="56">
        <v>1179</v>
      </c>
      <c r="L168" s="56">
        <v>729</v>
      </c>
      <c r="M168" s="57">
        <v>0</v>
      </c>
      <c r="N168" s="57">
        <v>0</v>
      </c>
      <c r="O168" s="57">
        <v>0</v>
      </c>
      <c r="P168" s="57">
        <v>0</v>
      </c>
      <c r="Q168" s="57">
        <v>0</v>
      </c>
      <c r="R168" s="57">
        <v>0.3709</v>
      </c>
      <c r="S168" s="71"/>
      <c r="T168" s="71"/>
      <c r="U168" s="71">
        <v>0.472</v>
      </c>
      <c r="V168" s="71"/>
      <c r="W168" s="57">
        <f t="shared" si="13"/>
        <v>0.472</v>
      </c>
      <c r="X168" s="71"/>
      <c r="Y168" s="71"/>
      <c r="Z168" s="71">
        <v>0.5497</v>
      </c>
      <c r="AA168" s="71"/>
      <c r="AB168" s="57">
        <f t="shared" si="10"/>
        <v>0.5497</v>
      </c>
      <c r="AC168" s="71">
        <v>0.4456</v>
      </c>
      <c r="AD168" s="71">
        <v>0.4956</v>
      </c>
      <c r="AE168" s="71">
        <v>0.7456</v>
      </c>
      <c r="AF168" s="73"/>
      <c r="AG168" s="58">
        <f t="shared" si="11"/>
        <v>0</v>
      </c>
      <c r="AH168" s="73"/>
    </row>
    <row r="169" ht="14.25" spans="1:34">
      <c r="A169" s="52">
        <v>167</v>
      </c>
      <c r="B169" s="61" t="s">
        <v>969</v>
      </c>
      <c r="C169" s="62" t="s">
        <v>1002</v>
      </c>
      <c r="D169" s="64" t="s">
        <v>1008</v>
      </c>
      <c r="E169" s="57">
        <v>17</v>
      </c>
      <c r="F169" s="52">
        <v>0.845</v>
      </c>
      <c r="G169" s="57">
        <v>0.82</v>
      </c>
      <c r="H169" s="58">
        <f t="shared" si="12"/>
        <v>0.81965</v>
      </c>
      <c r="I169" s="52">
        <v>15</v>
      </c>
      <c r="J169" s="52">
        <v>0.836</v>
      </c>
      <c r="K169" s="56">
        <v>1023</v>
      </c>
      <c r="L169" s="56">
        <v>696</v>
      </c>
      <c r="M169" s="57">
        <v>0</v>
      </c>
      <c r="N169" s="57">
        <v>0</v>
      </c>
      <c r="O169" s="57">
        <v>0</v>
      </c>
      <c r="P169" s="57">
        <v>0</v>
      </c>
      <c r="Q169" s="57">
        <v>0</v>
      </c>
      <c r="R169" s="57">
        <v>0.3709</v>
      </c>
      <c r="S169" s="71"/>
      <c r="T169" s="71"/>
      <c r="U169" s="71">
        <v>0.472</v>
      </c>
      <c r="V169" s="71"/>
      <c r="W169" s="57">
        <f t="shared" si="13"/>
        <v>0.472</v>
      </c>
      <c r="X169" s="71"/>
      <c r="Y169" s="71"/>
      <c r="Z169" s="71">
        <v>0.5497</v>
      </c>
      <c r="AA169" s="71"/>
      <c r="AB169" s="57">
        <f t="shared" si="10"/>
        <v>0.5497</v>
      </c>
      <c r="AC169" s="71">
        <v>0.4456</v>
      </c>
      <c r="AD169" s="71">
        <v>0.4956</v>
      </c>
      <c r="AE169" s="71">
        <v>0.7456</v>
      </c>
      <c r="AF169" s="73"/>
      <c r="AG169" s="58">
        <f t="shared" si="11"/>
        <v>0</v>
      </c>
      <c r="AH169" s="73"/>
    </row>
    <row r="170" ht="14.25" spans="1:34">
      <c r="A170" s="52">
        <v>168</v>
      </c>
      <c r="B170" s="61" t="s">
        <v>969</v>
      </c>
      <c r="C170" s="62" t="s">
        <v>637</v>
      </c>
      <c r="D170" s="65" t="s">
        <v>640</v>
      </c>
      <c r="E170" s="57">
        <v>35</v>
      </c>
      <c r="F170" s="63">
        <v>1.792</v>
      </c>
      <c r="G170" s="57">
        <v>1.533</v>
      </c>
      <c r="H170" s="58">
        <f t="shared" si="12"/>
        <v>1.73824</v>
      </c>
      <c r="I170" s="52">
        <v>28</v>
      </c>
      <c r="J170" s="52">
        <v>1.845</v>
      </c>
      <c r="K170" s="56">
        <v>1839</v>
      </c>
      <c r="L170" s="56">
        <v>718</v>
      </c>
      <c r="M170" s="57">
        <v>0</v>
      </c>
      <c r="N170" s="57">
        <v>0</v>
      </c>
      <c r="O170" s="57">
        <v>0</v>
      </c>
      <c r="P170" s="57">
        <v>0</v>
      </c>
      <c r="Q170" s="57">
        <v>0</v>
      </c>
      <c r="R170" s="73"/>
      <c r="S170" s="71"/>
      <c r="T170" s="71"/>
      <c r="U170" s="71">
        <v>0.87</v>
      </c>
      <c r="V170" s="71"/>
      <c r="W170" s="57">
        <f t="shared" si="13"/>
        <v>0.87</v>
      </c>
      <c r="X170" s="71"/>
      <c r="Y170" s="71"/>
      <c r="Z170" s="71">
        <v>0.69</v>
      </c>
      <c r="AA170" s="71"/>
      <c r="AB170" s="57">
        <f t="shared" si="10"/>
        <v>0.69</v>
      </c>
      <c r="AC170" s="71">
        <v>0.52</v>
      </c>
      <c r="AD170" s="71"/>
      <c r="AE170" s="71"/>
      <c r="AF170" s="58">
        <v>0.6</v>
      </c>
      <c r="AG170" s="58">
        <f t="shared" si="11"/>
        <v>0.689655172413793</v>
      </c>
      <c r="AH170" s="58">
        <v>0.6</v>
      </c>
    </row>
    <row r="171" ht="14.25" spans="1:34">
      <c r="A171" s="52">
        <v>169</v>
      </c>
      <c r="B171" s="61" t="s">
        <v>969</v>
      </c>
      <c r="C171" s="62" t="s">
        <v>637</v>
      </c>
      <c r="D171" s="64" t="s">
        <v>1009</v>
      </c>
      <c r="E171" s="57">
        <v>35</v>
      </c>
      <c r="F171" s="52">
        <v>1.592</v>
      </c>
      <c r="G171" s="57">
        <v>1.404</v>
      </c>
      <c r="H171" s="58">
        <f t="shared" si="12"/>
        <v>1.54424</v>
      </c>
      <c r="I171" s="52">
        <v>32</v>
      </c>
      <c r="J171" s="52">
        <v>1.9</v>
      </c>
      <c r="K171" s="56">
        <v>1644</v>
      </c>
      <c r="L171" s="56">
        <v>715</v>
      </c>
      <c r="M171" s="57">
        <v>0</v>
      </c>
      <c r="N171" s="57">
        <v>0</v>
      </c>
      <c r="O171" s="57">
        <v>0</v>
      </c>
      <c r="P171" s="57">
        <v>0</v>
      </c>
      <c r="Q171" s="57">
        <v>0</v>
      </c>
      <c r="R171" s="73"/>
      <c r="S171" s="71"/>
      <c r="T171" s="71"/>
      <c r="U171" s="71">
        <v>2.35</v>
      </c>
      <c r="V171" s="71"/>
      <c r="W171" s="57">
        <f t="shared" si="13"/>
        <v>2.35</v>
      </c>
      <c r="X171" s="71"/>
      <c r="Y171" s="71"/>
      <c r="Z171" s="71">
        <v>1.71</v>
      </c>
      <c r="AA171" s="71"/>
      <c r="AB171" s="57">
        <f t="shared" si="10"/>
        <v>1.71</v>
      </c>
      <c r="AC171" s="71">
        <v>0.82</v>
      </c>
      <c r="AD171" s="71"/>
      <c r="AE171" s="71"/>
      <c r="AF171" s="73"/>
      <c r="AG171" s="58">
        <f t="shared" si="11"/>
        <v>0</v>
      </c>
      <c r="AH171" s="73"/>
    </row>
    <row r="172" ht="14.25" spans="1:34">
      <c r="A172" s="52">
        <v>170</v>
      </c>
      <c r="B172" s="61" t="s">
        <v>969</v>
      </c>
      <c r="C172" s="62" t="s">
        <v>637</v>
      </c>
      <c r="D172" s="64" t="s">
        <v>641</v>
      </c>
      <c r="E172" s="57">
        <v>36</v>
      </c>
      <c r="F172" s="52">
        <v>1.496</v>
      </c>
      <c r="G172" s="57">
        <v>1.289</v>
      </c>
      <c r="H172" s="58">
        <f t="shared" si="12"/>
        <v>1.45112</v>
      </c>
      <c r="I172" s="52">
        <v>32</v>
      </c>
      <c r="J172" s="52">
        <v>1.494</v>
      </c>
      <c r="K172" s="56">
        <v>1545</v>
      </c>
      <c r="L172" s="56">
        <v>736</v>
      </c>
      <c r="M172" s="57">
        <v>0</v>
      </c>
      <c r="N172" s="57">
        <v>0</v>
      </c>
      <c r="O172" s="57">
        <v>0</v>
      </c>
      <c r="P172" s="57">
        <v>0</v>
      </c>
      <c r="Q172" s="57">
        <v>0</v>
      </c>
      <c r="R172" s="73"/>
      <c r="S172" s="71"/>
      <c r="T172" s="71"/>
      <c r="U172" s="71">
        <v>0.5</v>
      </c>
      <c r="V172" s="71"/>
      <c r="W172" s="57">
        <f t="shared" si="13"/>
        <v>0.5</v>
      </c>
      <c r="X172" s="71"/>
      <c r="Y172" s="71"/>
      <c r="Z172" s="71">
        <v>0.58</v>
      </c>
      <c r="AA172" s="71"/>
      <c r="AB172" s="57">
        <f t="shared" si="10"/>
        <v>0.58</v>
      </c>
      <c r="AC172" s="71">
        <v>0.49</v>
      </c>
      <c r="AD172" s="71"/>
      <c r="AE172" s="71"/>
      <c r="AF172" s="73"/>
      <c r="AG172" s="58">
        <f t="shared" si="11"/>
        <v>0</v>
      </c>
      <c r="AH172" s="73"/>
    </row>
    <row r="173" ht="14.25" spans="1:34">
      <c r="A173" s="52">
        <v>171</v>
      </c>
      <c r="B173" s="61" t="s">
        <v>969</v>
      </c>
      <c r="C173" s="62" t="s">
        <v>637</v>
      </c>
      <c r="D173" s="64" t="s">
        <v>1010</v>
      </c>
      <c r="E173" s="57">
        <v>34</v>
      </c>
      <c r="F173" s="52">
        <v>1.279</v>
      </c>
      <c r="G173" s="57">
        <v>1.132</v>
      </c>
      <c r="H173" s="58">
        <f t="shared" si="12"/>
        <v>1.24063</v>
      </c>
      <c r="I173" s="52">
        <v>30</v>
      </c>
      <c r="J173" s="52">
        <v>1.537</v>
      </c>
      <c r="K173" s="56">
        <v>1352</v>
      </c>
      <c r="L173" s="56">
        <v>692</v>
      </c>
      <c r="M173" s="57">
        <v>0</v>
      </c>
      <c r="N173" s="57">
        <v>0</v>
      </c>
      <c r="O173" s="57">
        <v>0</v>
      </c>
      <c r="P173" s="57">
        <v>0</v>
      </c>
      <c r="Q173" s="57">
        <v>0</v>
      </c>
      <c r="R173" s="73"/>
      <c r="S173" s="71"/>
      <c r="T173" s="71"/>
      <c r="U173" s="71">
        <v>0.87</v>
      </c>
      <c r="V173" s="71"/>
      <c r="W173" s="57">
        <f t="shared" si="13"/>
        <v>0.87</v>
      </c>
      <c r="X173" s="71"/>
      <c r="Y173" s="71"/>
      <c r="Z173" s="71">
        <v>0.69</v>
      </c>
      <c r="AA173" s="71"/>
      <c r="AB173" s="57">
        <f t="shared" si="10"/>
        <v>0.69</v>
      </c>
      <c r="AC173" s="71">
        <v>0.52</v>
      </c>
      <c r="AD173" s="71"/>
      <c r="AE173" s="71"/>
      <c r="AF173" s="73"/>
      <c r="AG173" s="58">
        <f t="shared" si="11"/>
        <v>0</v>
      </c>
      <c r="AH173" s="73"/>
    </row>
    <row r="174" ht="14.25" spans="1:34">
      <c r="A174" s="52">
        <v>172</v>
      </c>
      <c r="B174" s="61" t="s">
        <v>969</v>
      </c>
      <c r="C174" s="62" t="s">
        <v>637</v>
      </c>
      <c r="D174" s="64" t="s">
        <v>1011</v>
      </c>
      <c r="E174" s="57">
        <v>33</v>
      </c>
      <c r="F174" s="52">
        <v>1.98</v>
      </c>
      <c r="G174" s="57">
        <v>1.727</v>
      </c>
      <c r="H174" s="58">
        <f t="shared" si="12"/>
        <v>1.9206</v>
      </c>
      <c r="I174" s="52">
        <v>32</v>
      </c>
      <c r="J174" s="52">
        <v>1.906</v>
      </c>
      <c r="K174" s="56">
        <v>2061</v>
      </c>
      <c r="L174" s="56">
        <v>736</v>
      </c>
      <c r="M174" s="57">
        <v>0</v>
      </c>
      <c r="N174" s="57">
        <v>0</v>
      </c>
      <c r="O174" s="57">
        <v>0</v>
      </c>
      <c r="P174" s="57">
        <v>0</v>
      </c>
      <c r="Q174" s="57">
        <v>0</v>
      </c>
      <c r="R174" s="73"/>
      <c r="S174" s="71"/>
      <c r="T174" s="71"/>
      <c r="U174" s="71">
        <v>0.87</v>
      </c>
      <c r="V174" s="71"/>
      <c r="W174" s="57">
        <f t="shared" si="13"/>
        <v>0.87</v>
      </c>
      <c r="X174" s="71"/>
      <c r="Y174" s="71"/>
      <c r="Z174" s="71">
        <v>0.69</v>
      </c>
      <c r="AA174" s="71"/>
      <c r="AB174" s="57">
        <f t="shared" si="10"/>
        <v>0.69</v>
      </c>
      <c r="AC174" s="71">
        <v>0.52</v>
      </c>
      <c r="AD174" s="71"/>
      <c r="AE174" s="71"/>
      <c r="AF174" s="73"/>
      <c r="AG174" s="58">
        <f t="shared" si="11"/>
        <v>0</v>
      </c>
      <c r="AH174" s="73"/>
    </row>
    <row r="175" ht="14.25" spans="1:34">
      <c r="A175" s="52">
        <v>173</v>
      </c>
      <c r="B175" s="61" t="s">
        <v>969</v>
      </c>
      <c r="C175" s="62" t="s">
        <v>637</v>
      </c>
      <c r="D175" s="64" t="s">
        <v>1012</v>
      </c>
      <c r="E175" s="57">
        <v>34</v>
      </c>
      <c r="F175" s="52">
        <v>1.434</v>
      </c>
      <c r="G175" s="57">
        <v>1.273</v>
      </c>
      <c r="H175" s="58">
        <f t="shared" si="12"/>
        <v>1.39098</v>
      </c>
      <c r="I175" s="52">
        <v>32</v>
      </c>
      <c r="J175" s="52">
        <v>1.768</v>
      </c>
      <c r="K175" s="56">
        <v>1501</v>
      </c>
      <c r="L175" s="56">
        <v>755</v>
      </c>
      <c r="M175" s="57">
        <v>0</v>
      </c>
      <c r="N175" s="57">
        <v>0</v>
      </c>
      <c r="O175" s="57">
        <v>0</v>
      </c>
      <c r="P175" s="57">
        <v>0</v>
      </c>
      <c r="Q175" s="57">
        <v>0</v>
      </c>
      <c r="R175" s="73"/>
      <c r="S175" s="71"/>
      <c r="T175" s="71"/>
      <c r="U175" s="71">
        <v>0.87</v>
      </c>
      <c r="V175" s="71"/>
      <c r="W175" s="57">
        <f t="shared" si="13"/>
        <v>0.87</v>
      </c>
      <c r="X175" s="71"/>
      <c r="Y175" s="71"/>
      <c r="Z175" s="71">
        <v>0.69</v>
      </c>
      <c r="AA175" s="71"/>
      <c r="AB175" s="57">
        <f t="shared" si="10"/>
        <v>0.69</v>
      </c>
      <c r="AC175" s="71">
        <v>0.52</v>
      </c>
      <c r="AD175" s="71"/>
      <c r="AE175" s="71"/>
      <c r="AF175" s="73"/>
      <c r="AG175" s="58">
        <f t="shared" si="11"/>
        <v>0</v>
      </c>
      <c r="AH175" s="73"/>
    </row>
    <row r="176" ht="14.25" spans="1:34">
      <c r="A176" s="52">
        <v>174</v>
      </c>
      <c r="B176" s="61" t="s">
        <v>969</v>
      </c>
      <c r="C176" s="62" t="s">
        <v>637</v>
      </c>
      <c r="D176" s="64" t="s">
        <v>639</v>
      </c>
      <c r="E176" s="57">
        <v>35</v>
      </c>
      <c r="F176" s="52">
        <v>1.599</v>
      </c>
      <c r="G176" s="57">
        <v>1.398</v>
      </c>
      <c r="H176" s="58">
        <f t="shared" si="12"/>
        <v>1.55103</v>
      </c>
      <c r="I176" s="52">
        <v>35</v>
      </c>
      <c r="J176" s="52">
        <v>1.648</v>
      </c>
      <c r="K176" s="56">
        <v>1614</v>
      </c>
      <c r="L176" s="56">
        <v>755</v>
      </c>
      <c r="M176" s="57">
        <v>0</v>
      </c>
      <c r="N176" s="57">
        <v>0</v>
      </c>
      <c r="O176" s="57">
        <v>0</v>
      </c>
      <c r="P176" s="57">
        <v>0</v>
      </c>
      <c r="Q176" s="57">
        <v>0</v>
      </c>
      <c r="R176" s="73"/>
      <c r="S176" s="71"/>
      <c r="T176" s="71"/>
      <c r="U176" s="71">
        <v>0.87</v>
      </c>
      <c r="V176" s="71"/>
      <c r="W176" s="57">
        <f t="shared" si="13"/>
        <v>0.87</v>
      </c>
      <c r="X176" s="71"/>
      <c r="Y176" s="71"/>
      <c r="Z176" s="71">
        <v>0.69</v>
      </c>
      <c r="AA176" s="71"/>
      <c r="AB176" s="57">
        <f t="shared" si="10"/>
        <v>0.69</v>
      </c>
      <c r="AC176" s="71">
        <v>0.52</v>
      </c>
      <c r="AD176" s="71"/>
      <c r="AE176" s="71"/>
      <c r="AF176" s="73"/>
      <c r="AG176" s="58">
        <f t="shared" si="11"/>
        <v>0</v>
      </c>
      <c r="AH176" s="73"/>
    </row>
    <row r="177" ht="14.25" spans="1:34">
      <c r="A177" s="52">
        <v>175</v>
      </c>
      <c r="B177" s="61" t="s">
        <v>1013</v>
      </c>
      <c r="C177" s="62" t="s">
        <v>278</v>
      </c>
      <c r="D177" s="65" t="s">
        <v>659</v>
      </c>
      <c r="E177" s="57">
        <v>36</v>
      </c>
      <c r="F177" s="63">
        <v>1.372</v>
      </c>
      <c r="G177" s="57">
        <v>1.167</v>
      </c>
      <c r="H177" s="58">
        <f t="shared" si="12"/>
        <v>1.33084</v>
      </c>
      <c r="I177" s="52">
        <v>33</v>
      </c>
      <c r="J177" s="52">
        <v>1.217</v>
      </c>
      <c r="K177" s="56">
        <v>1414</v>
      </c>
      <c r="L177" s="56">
        <v>648</v>
      </c>
      <c r="M177" s="57">
        <v>0</v>
      </c>
      <c r="N177" s="57">
        <v>0</v>
      </c>
      <c r="O177" s="57">
        <v>0</v>
      </c>
      <c r="P177" s="57">
        <v>0</v>
      </c>
      <c r="Q177" s="57">
        <v>0</v>
      </c>
      <c r="R177" s="73"/>
      <c r="S177" s="73"/>
      <c r="T177" s="73"/>
      <c r="U177" s="73"/>
      <c r="V177" s="73"/>
      <c r="W177" s="57">
        <f t="shared" si="13"/>
        <v>0</v>
      </c>
      <c r="X177" s="73"/>
      <c r="Y177" s="73"/>
      <c r="Z177" s="73"/>
      <c r="AA177" s="73"/>
      <c r="AB177" s="57">
        <f t="shared" si="10"/>
        <v>0</v>
      </c>
      <c r="AC177" s="73"/>
      <c r="AD177" s="73"/>
      <c r="AE177" s="73"/>
      <c r="AF177" s="58">
        <v>0.65</v>
      </c>
      <c r="AG177" s="58" t="e">
        <f t="shared" si="11"/>
        <v>#DIV/0!</v>
      </c>
      <c r="AH177" s="58">
        <v>0.6</v>
      </c>
    </row>
    <row r="178" ht="14.25" spans="1:34">
      <c r="A178" s="52">
        <v>176</v>
      </c>
      <c r="B178" s="61" t="s">
        <v>1013</v>
      </c>
      <c r="C178" s="62" t="s">
        <v>278</v>
      </c>
      <c r="D178" s="64" t="s">
        <v>1014</v>
      </c>
      <c r="E178" s="57">
        <v>36</v>
      </c>
      <c r="F178" s="52">
        <v>1.373</v>
      </c>
      <c r="G178" s="57">
        <v>1.161</v>
      </c>
      <c r="H178" s="58">
        <f t="shared" si="12"/>
        <v>1.33181</v>
      </c>
      <c r="I178" s="52">
        <v>33</v>
      </c>
      <c r="J178" s="52">
        <v>1.217</v>
      </c>
      <c r="K178" s="56">
        <v>1405</v>
      </c>
      <c r="L178" s="56">
        <v>638</v>
      </c>
      <c r="M178" s="57">
        <v>0</v>
      </c>
      <c r="N178" s="57">
        <v>0</v>
      </c>
      <c r="O178" s="57">
        <v>0</v>
      </c>
      <c r="P178" s="57">
        <v>0</v>
      </c>
      <c r="Q178" s="57">
        <v>0</v>
      </c>
      <c r="R178" s="73"/>
      <c r="S178" s="73"/>
      <c r="T178" s="73"/>
      <c r="U178" s="73"/>
      <c r="V178" s="73"/>
      <c r="W178" s="57">
        <f t="shared" si="13"/>
        <v>0</v>
      </c>
      <c r="X178" s="73"/>
      <c r="Y178" s="73"/>
      <c r="Z178" s="73"/>
      <c r="AA178" s="73"/>
      <c r="AB178" s="57">
        <f t="shared" si="10"/>
        <v>0</v>
      </c>
      <c r="AC178" s="73"/>
      <c r="AD178" s="73"/>
      <c r="AE178" s="73"/>
      <c r="AF178" s="73"/>
      <c r="AG178" s="58" t="e">
        <f t="shared" si="11"/>
        <v>#DIV/0!</v>
      </c>
      <c r="AH178" s="73"/>
    </row>
    <row r="179" ht="14.25" spans="1:34">
      <c r="A179" s="52">
        <v>177</v>
      </c>
      <c r="B179" s="61" t="s">
        <v>1013</v>
      </c>
      <c r="C179" s="62" t="s">
        <v>278</v>
      </c>
      <c r="D179" s="64" t="s">
        <v>1015</v>
      </c>
      <c r="E179" s="57">
        <v>36</v>
      </c>
      <c r="F179" s="52">
        <v>1.366</v>
      </c>
      <c r="G179" s="57">
        <v>1.159</v>
      </c>
      <c r="H179" s="58">
        <f t="shared" si="12"/>
        <v>1.32502</v>
      </c>
      <c r="I179" s="52">
        <v>41</v>
      </c>
      <c r="J179" s="52">
        <v>1.404</v>
      </c>
      <c r="K179" s="56">
        <v>1430</v>
      </c>
      <c r="L179" s="56">
        <v>636</v>
      </c>
      <c r="M179" s="57">
        <v>0</v>
      </c>
      <c r="N179" s="57">
        <v>0</v>
      </c>
      <c r="O179" s="57">
        <v>0</v>
      </c>
      <c r="P179" s="57">
        <v>0</v>
      </c>
      <c r="Q179" s="57">
        <v>0</v>
      </c>
      <c r="R179" s="73"/>
      <c r="S179" s="73"/>
      <c r="T179" s="73"/>
      <c r="U179" s="73"/>
      <c r="V179" s="73"/>
      <c r="W179" s="57">
        <f t="shared" si="13"/>
        <v>0</v>
      </c>
      <c r="X179" s="73"/>
      <c r="Y179" s="73"/>
      <c r="Z179" s="73"/>
      <c r="AA179" s="73"/>
      <c r="AB179" s="57">
        <f t="shared" si="10"/>
        <v>0</v>
      </c>
      <c r="AC179" s="73"/>
      <c r="AD179" s="73"/>
      <c r="AE179" s="73"/>
      <c r="AF179" s="73"/>
      <c r="AG179" s="58" t="e">
        <f t="shared" si="11"/>
        <v>#DIV/0!</v>
      </c>
      <c r="AH179" s="73"/>
    </row>
    <row r="180" ht="14.25" spans="1:34">
      <c r="A180" s="52">
        <v>178</v>
      </c>
      <c r="B180" s="61" t="s">
        <v>1013</v>
      </c>
      <c r="C180" s="62" t="s">
        <v>278</v>
      </c>
      <c r="D180" s="64" t="s">
        <v>661</v>
      </c>
      <c r="E180" s="57">
        <v>38</v>
      </c>
      <c r="F180" s="52">
        <v>1.463</v>
      </c>
      <c r="G180" s="57">
        <v>1.202</v>
      </c>
      <c r="H180" s="58">
        <f t="shared" si="12"/>
        <v>1.41911</v>
      </c>
      <c r="I180" s="52">
        <v>42</v>
      </c>
      <c r="J180" s="52">
        <v>1.6</v>
      </c>
      <c r="K180" s="56">
        <v>1527</v>
      </c>
      <c r="L180" s="56">
        <v>683</v>
      </c>
      <c r="M180" s="57">
        <v>0</v>
      </c>
      <c r="N180" s="57">
        <v>0</v>
      </c>
      <c r="O180" s="57">
        <v>0</v>
      </c>
      <c r="P180" s="57">
        <v>0</v>
      </c>
      <c r="Q180" s="57">
        <v>0</v>
      </c>
      <c r="R180" s="73"/>
      <c r="S180" s="73"/>
      <c r="T180" s="73"/>
      <c r="U180" s="73"/>
      <c r="V180" s="73"/>
      <c r="W180" s="57">
        <f t="shared" si="13"/>
        <v>0</v>
      </c>
      <c r="X180" s="73"/>
      <c r="Y180" s="73"/>
      <c r="Z180" s="73"/>
      <c r="AA180" s="73"/>
      <c r="AB180" s="57">
        <f t="shared" si="10"/>
        <v>0</v>
      </c>
      <c r="AC180" s="73"/>
      <c r="AD180" s="73"/>
      <c r="AE180" s="73"/>
      <c r="AF180" s="73"/>
      <c r="AG180" s="58" t="e">
        <f t="shared" si="11"/>
        <v>#DIV/0!</v>
      </c>
      <c r="AH180" s="73"/>
    </row>
    <row r="181" ht="14.25" spans="1:34">
      <c r="A181" s="52">
        <v>179</v>
      </c>
      <c r="B181" s="61" t="s">
        <v>1013</v>
      </c>
      <c r="C181" s="62" t="s">
        <v>278</v>
      </c>
      <c r="D181" s="64" t="s">
        <v>666</v>
      </c>
      <c r="E181" s="57">
        <v>41</v>
      </c>
      <c r="F181" s="52">
        <v>1.771</v>
      </c>
      <c r="G181" s="57">
        <v>1.391</v>
      </c>
      <c r="H181" s="58">
        <f t="shared" si="12"/>
        <v>1.71787</v>
      </c>
      <c r="I181" s="52">
        <v>40</v>
      </c>
      <c r="J181" s="52">
        <v>1.537</v>
      </c>
      <c r="K181" s="56">
        <v>1719</v>
      </c>
      <c r="L181" s="56">
        <v>542</v>
      </c>
      <c r="M181" s="57">
        <v>0</v>
      </c>
      <c r="N181" s="57">
        <v>0</v>
      </c>
      <c r="O181" s="57">
        <v>0</v>
      </c>
      <c r="P181" s="57">
        <v>0</v>
      </c>
      <c r="Q181" s="57">
        <v>0</v>
      </c>
      <c r="R181" s="73"/>
      <c r="S181" s="73"/>
      <c r="T181" s="73"/>
      <c r="U181" s="73"/>
      <c r="V181" s="73"/>
      <c r="W181" s="57">
        <f t="shared" si="13"/>
        <v>0</v>
      </c>
      <c r="X181" s="73"/>
      <c r="Y181" s="73"/>
      <c r="Z181" s="73"/>
      <c r="AA181" s="73"/>
      <c r="AB181" s="57">
        <f t="shared" si="10"/>
        <v>0</v>
      </c>
      <c r="AC181" s="73"/>
      <c r="AD181" s="73"/>
      <c r="AE181" s="73"/>
      <c r="AF181" s="73"/>
      <c r="AG181" s="58" t="e">
        <f t="shared" si="11"/>
        <v>#DIV/0!</v>
      </c>
      <c r="AH181" s="73"/>
    </row>
    <row r="182" ht="14.25" spans="1:34">
      <c r="A182" s="52">
        <v>180</v>
      </c>
      <c r="B182" s="61" t="s">
        <v>1013</v>
      </c>
      <c r="C182" s="62" t="s">
        <v>278</v>
      </c>
      <c r="D182" s="64" t="s">
        <v>1016</v>
      </c>
      <c r="E182" s="57">
        <v>36</v>
      </c>
      <c r="F182" s="52">
        <v>1.363</v>
      </c>
      <c r="G182" s="57">
        <v>1.151</v>
      </c>
      <c r="H182" s="58">
        <f t="shared" si="12"/>
        <v>1.32211</v>
      </c>
      <c r="I182" s="52">
        <v>38</v>
      </c>
      <c r="J182" s="52">
        <v>1.478</v>
      </c>
      <c r="K182" s="56">
        <v>1404</v>
      </c>
      <c r="L182" s="56">
        <v>686</v>
      </c>
      <c r="M182" s="57">
        <v>0</v>
      </c>
      <c r="N182" s="57">
        <v>0</v>
      </c>
      <c r="O182" s="57">
        <v>0</v>
      </c>
      <c r="P182" s="57">
        <v>0</v>
      </c>
      <c r="Q182" s="57">
        <v>0</v>
      </c>
      <c r="R182" s="73"/>
      <c r="S182" s="73"/>
      <c r="T182" s="73"/>
      <c r="U182" s="73"/>
      <c r="V182" s="73"/>
      <c r="W182" s="57">
        <f t="shared" si="13"/>
        <v>0</v>
      </c>
      <c r="X182" s="73"/>
      <c r="Y182" s="73"/>
      <c r="Z182" s="73"/>
      <c r="AA182" s="73"/>
      <c r="AB182" s="57">
        <f t="shared" si="10"/>
        <v>0</v>
      </c>
      <c r="AC182" s="73"/>
      <c r="AD182" s="73"/>
      <c r="AE182" s="73"/>
      <c r="AF182" s="73"/>
      <c r="AG182" s="58" t="e">
        <f t="shared" si="11"/>
        <v>#DIV/0!</v>
      </c>
      <c r="AH182" s="73"/>
    </row>
    <row r="183" ht="14.25" spans="1:34">
      <c r="A183" s="52">
        <v>181</v>
      </c>
      <c r="B183" s="61" t="s">
        <v>1013</v>
      </c>
      <c r="C183" s="62" t="s">
        <v>278</v>
      </c>
      <c r="D183" s="64" t="s">
        <v>1017</v>
      </c>
      <c r="E183" s="57">
        <v>41</v>
      </c>
      <c r="F183" s="52">
        <v>1.555</v>
      </c>
      <c r="G183" s="57">
        <v>1.246</v>
      </c>
      <c r="H183" s="58">
        <f t="shared" si="12"/>
        <v>1.50835</v>
      </c>
      <c r="I183" s="52">
        <v>40</v>
      </c>
      <c r="J183" s="52">
        <v>1.427</v>
      </c>
      <c r="K183" s="56">
        <v>1532</v>
      </c>
      <c r="L183" s="56">
        <v>620</v>
      </c>
      <c r="M183" s="57">
        <v>0</v>
      </c>
      <c r="N183" s="57">
        <v>0</v>
      </c>
      <c r="O183" s="57">
        <v>0</v>
      </c>
      <c r="P183" s="57">
        <v>0</v>
      </c>
      <c r="Q183" s="57">
        <v>0</v>
      </c>
      <c r="R183" s="73"/>
      <c r="S183" s="73"/>
      <c r="T183" s="73"/>
      <c r="U183" s="73"/>
      <c r="V183" s="73"/>
      <c r="W183" s="57">
        <f t="shared" si="13"/>
        <v>0</v>
      </c>
      <c r="X183" s="73"/>
      <c r="Y183" s="73"/>
      <c r="Z183" s="73"/>
      <c r="AA183" s="73"/>
      <c r="AB183" s="57">
        <f t="shared" si="10"/>
        <v>0</v>
      </c>
      <c r="AC183" s="73"/>
      <c r="AD183" s="73"/>
      <c r="AE183" s="73"/>
      <c r="AF183" s="73"/>
      <c r="AG183" s="58" t="e">
        <f t="shared" si="11"/>
        <v>#DIV/0!</v>
      </c>
      <c r="AH183" s="73"/>
    </row>
    <row r="184" ht="14.25" spans="1:34">
      <c r="A184" s="52">
        <v>182</v>
      </c>
      <c r="B184" s="61" t="s">
        <v>1013</v>
      </c>
      <c r="C184" s="62" t="s">
        <v>278</v>
      </c>
      <c r="D184" s="64" t="s">
        <v>1018</v>
      </c>
      <c r="E184" s="57">
        <v>38</v>
      </c>
      <c r="F184" s="52">
        <v>1.499</v>
      </c>
      <c r="G184" s="57">
        <v>1.241</v>
      </c>
      <c r="H184" s="58">
        <f t="shared" si="12"/>
        <v>1.45403</v>
      </c>
      <c r="I184" s="52">
        <v>41</v>
      </c>
      <c r="J184" s="52">
        <v>1.563</v>
      </c>
      <c r="K184" s="56">
        <v>1534</v>
      </c>
      <c r="L184" s="56">
        <v>660</v>
      </c>
      <c r="M184" s="57">
        <v>0</v>
      </c>
      <c r="N184" s="57">
        <v>0</v>
      </c>
      <c r="O184" s="57">
        <v>0</v>
      </c>
      <c r="P184" s="57">
        <v>0</v>
      </c>
      <c r="Q184" s="57">
        <v>0</v>
      </c>
      <c r="R184" s="73"/>
      <c r="S184" s="73"/>
      <c r="T184" s="73"/>
      <c r="U184" s="73"/>
      <c r="V184" s="73"/>
      <c r="W184" s="57">
        <f t="shared" si="13"/>
        <v>0</v>
      </c>
      <c r="X184" s="73"/>
      <c r="Y184" s="73"/>
      <c r="Z184" s="73"/>
      <c r="AA184" s="73"/>
      <c r="AB184" s="57">
        <f t="shared" si="10"/>
        <v>0</v>
      </c>
      <c r="AC184" s="73"/>
      <c r="AD184" s="73"/>
      <c r="AE184" s="73"/>
      <c r="AF184" s="73"/>
      <c r="AG184" s="58" t="e">
        <f t="shared" si="11"/>
        <v>#DIV/0!</v>
      </c>
      <c r="AH184" s="73"/>
    </row>
    <row r="185" ht="14.25" spans="1:34">
      <c r="A185" s="52">
        <v>183</v>
      </c>
      <c r="B185" s="61" t="s">
        <v>1013</v>
      </c>
      <c r="C185" s="62" t="s">
        <v>278</v>
      </c>
      <c r="D185" s="64" t="s">
        <v>665</v>
      </c>
      <c r="E185" s="57">
        <v>25</v>
      </c>
      <c r="F185" s="52">
        <v>1.144</v>
      </c>
      <c r="G185" s="57">
        <v>1.085</v>
      </c>
      <c r="H185" s="58">
        <f t="shared" si="12"/>
        <v>1.10968</v>
      </c>
      <c r="I185" s="52">
        <v>35</v>
      </c>
      <c r="J185" s="52">
        <v>1.612</v>
      </c>
      <c r="K185" s="56">
        <v>1371</v>
      </c>
      <c r="L185" s="56">
        <v>800</v>
      </c>
      <c r="M185" s="57">
        <v>0</v>
      </c>
      <c r="N185" s="57">
        <v>0</v>
      </c>
      <c r="O185" s="57">
        <v>0</v>
      </c>
      <c r="P185" s="57">
        <v>0</v>
      </c>
      <c r="Q185" s="57">
        <v>0</v>
      </c>
      <c r="R185" s="73"/>
      <c r="S185" s="73"/>
      <c r="T185" s="73"/>
      <c r="U185" s="73"/>
      <c r="V185" s="73"/>
      <c r="W185" s="57">
        <f t="shared" si="13"/>
        <v>0</v>
      </c>
      <c r="X185" s="73"/>
      <c r="Y185" s="73"/>
      <c r="Z185" s="73"/>
      <c r="AA185" s="73"/>
      <c r="AB185" s="57">
        <f t="shared" si="10"/>
        <v>0</v>
      </c>
      <c r="AC185" s="73"/>
      <c r="AD185" s="73"/>
      <c r="AE185" s="73"/>
      <c r="AF185" s="73"/>
      <c r="AG185" s="58" t="e">
        <f t="shared" si="11"/>
        <v>#DIV/0!</v>
      </c>
      <c r="AH185" s="73"/>
    </row>
    <row r="186" ht="14.25" spans="1:34">
      <c r="A186" s="52">
        <v>184</v>
      </c>
      <c r="B186" s="61" t="s">
        <v>1013</v>
      </c>
      <c r="C186" s="62" t="s">
        <v>278</v>
      </c>
      <c r="D186" s="64" t="s">
        <v>1019</v>
      </c>
      <c r="E186" s="57">
        <v>44</v>
      </c>
      <c r="F186" s="52">
        <v>1.678</v>
      </c>
      <c r="G186" s="57">
        <v>1.256</v>
      </c>
      <c r="H186" s="58">
        <f t="shared" si="12"/>
        <v>1.62766</v>
      </c>
      <c r="I186" s="52">
        <v>44</v>
      </c>
      <c r="J186" s="52">
        <v>1.494</v>
      </c>
      <c r="K186" s="56">
        <v>1510</v>
      </c>
      <c r="L186" s="56">
        <v>551</v>
      </c>
      <c r="M186" s="57">
        <v>0</v>
      </c>
      <c r="N186" s="57">
        <v>0</v>
      </c>
      <c r="O186" s="57">
        <v>0</v>
      </c>
      <c r="P186" s="57">
        <v>0</v>
      </c>
      <c r="Q186" s="57">
        <v>0</v>
      </c>
      <c r="R186" s="73"/>
      <c r="S186" s="73"/>
      <c r="T186" s="73"/>
      <c r="U186" s="73"/>
      <c r="V186" s="73"/>
      <c r="W186" s="57">
        <f t="shared" si="13"/>
        <v>0</v>
      </c>
      <c r="X186" s="73"/>
      <c r="Y186" s="73"/>
      <c r="Z186" s="81">
        <v>0.625</v>
      </c>
      <c r="AA186" s="73"/>
      <c r="AB186" s="57">
        <f t="shared" si="10"/>
        <v>0.625</v>
      </c>
      <c r="AC186" s="81">
        <v>0.599</v>
      </c>
      <c r="AD186" s="73"/>
      <c r="AE186" s="73"/>
      <c r="AF186" s="73"/>
      <c r="AG186" s="58" t="e">
        <f t="shared" si="11"/>
        <v>#DIV/0!</v>
      </c>
      <c r="AH186" s="73"/>
    </row>
    <row r="187" ht="14.25" spans="1:34">
      <c r="A187" s="52">
        <v>185</v>
      </c>
      <c r="B187" s="61" t="s">
        <v>1013</v>
      </c>
      <c r="C187" s="62" t="s">
        <v>278</v>
      </c>
      <c r="D187" s="64" t="s">
        <v>657</v>
      </c>
      <c r="E187" s="57">
        <v>44</v>
      </c>
      <c r="F187" s="52">
        <v>1.74</v>
      </c>
      <c r="G187" s="57">
        <v>1.314</v>
      </c>
      <c r="H187" s="58">
        <f t="shared" si="12"/>
        <v>1.6878</v>
      </c>
      <c r="I187" s="52">
        <v>41</v>
      </c>
      <c r="J187" s="52">
        <v>1.407</v>
      </c>
      <c r="K187" s="56">
        <v>1592</v>
      </c>
      <c r="L187" s="56">
        <v>513</v>
      </c>
      <c r="M187" s="57">
        <v>0</v>
      </c>
      <c r="N187" s="57">
        <v>0</v>
      </c>
      <c r="O187" s="57">
        <v>0</v>
      </c>
      <c r="P187" s="57">
        <v>0</v>
      </c>
      <c r="Q187" s="57">
        <v>0</v>
      </c>
      <c r="R187" s="73"/>
      <c r="S187" s="73"/>
      <c r="T187" s="73"/>
      <c r="U187" s="73"/>
      <c r="V187" s="73"/>
      <c r="W187" s="57">
        <f t="shared" si="13"/>
        <v>0</v>
      </c>
      <c r="X187" s="73"/>
      <c r="Y187" s="73"/>
      <c r="Z187" s="73"/>
      <c r="AA187" s="73"/>
      <c r="AB187" s="57">
        <f t="shared" si="10"/>
        <v>0</v>
      </c>
      <c r="AC187" s="73"/>
      <c r="AD187" s="73"/>
      <c r="AE187" s="73"/>
      <c r="AF187" s="73"/>
      <c r="AG187" s="58" t="e">
        <f t="shared" si="11"/>
        <v>#DIV/0!</v>
      </c>
      <c r="AH187" s="73"/>
    </row>
    <row r="188" ht="14.25" spans="1:34">
      <c r="A188" s="52">
        <v>186</v>
      </c>
      <c r="B188" s="61" t="s">
        <v>1013</v>
      </c>
      <c r="C188" s="62" t="s">
        <v>278</v>
      </c>
      <c r="D188" s="64" t="s">
        <v>662</v>
      </c>
      <c r="E188" s="57">
        <v>39</v>
      </c>
      <c r="F188" s="52">
        <v>1.556</v>
      </c>
      <c r="G188" s="57">
        <v>1.274</v>
      </c>
      <c r="H188" s="58">
        <f t="shared" si="12"/>
        <v>1.50932</v>
      </c>
      <c r="I188" s="52">
        <v>40</v>
      </c>
      <c r="J188" s="52">
        <v>1.543</v>
      </c>
      <c r="K188" s="56">
        <v>1557</v>
      </c>
      <c r="L188" s="56">
        <v>648</v>
      </c>
      <c r="M188" s="57">
        <v>0</v>
      </c>
      <c r="N188" s="57">
        <v>0</v>
      </c>
      <c r="O188" s="57">
        <v>0</v>
      </c>
      <c r="P188" s="57">
        <v>0</v>
      </c>
      <c r="Q188" s="57">
        <v>0</v>
      </c>
      <c r="R188" s="73"/>
      <c r="S188" s="73"/>
      <c r="T188" s="73"/>
      <c r="U188" s="73"/>
      <c r="V188" s="73"/>
      <c r="W188" s="57">
        <f t="shared" si="13"/>
        <v>0</v>
      </c>
      <c r="X188" s="73"/>
      <c r="Y188" s="73"/>
      <c r="Z188" s="73"/>
      <c r="AA188" s="73"/>
      <c r="AB188" s="57">
        <f t="shared" si="10"/>
        <v>0</v>
      </c>
      <c r="AC188" s="73"/>
      <c r="AD188" s="73"/>
      <c r="AE188" s="73"/>
      <c r="AF188" s="73"/>
      <c r="AG188" s="58" t="e">
        <f t="shared" si="11"/>
        <v>#DIV/0!</v>
      </c>
      <c r="AH188" s="73"/>
    </row>
    <row r="189" ht="14.25" spans="1:34">
      <c r="A189" s="52">
        <v>187</v>
      </c>
      <c r="B189" s="61" t="s">
        <v>1013</v>
      </c>
      <c r="C189" s="62" t="s">
        <v>278</v>
      </c>
      <c r="D189" s="64" t="s">
        <v>1020</v>
      </c>
      <c r="E189" s="57">
        <v>42</v>
      </c>
      <c r="F189" s="52">
        <v>1.578</v>
      </c>
      <c r="G189" s="57">
        <v>1.243</v>
      </c>
      <c r="H189" s="58">
        <f t="shared" si="12"/>
        <v>1.53066</v>
      </c>
      <c r="I189" s="52">
        <v>40</v>
      </c>
      <c r="J189" s="52">
        <v>1.416</v>
      </c>
      <c r="K189" s="56">
        <v>1522</v>
      </c>
      <c r="L189" s="56">
        <v>592</v>
      </c>
      <c r="M189" s="57">
        <v>0</v>
      </c>
      <c r="N189" s="57">
        <v>0</v>
      </c>
      <c r="O189" s="57">
        <v>0</v>
      </c>
      <c r="P189" s="57">
        <v>0</v>
      </c>
      <c r="Q189" s="57">
        <v>0</v>
      </c>
      <c r="R189" s="73"/>
      <c r="S189" s="73"/>
      <c r="T189" s="73"/>
      <c r="U189" s="73"/>
      <c r="V189" s="73"/>
      <c r="W189" s="57">
        <f t="shared" si="13"/>
        <v>0</v>
      </c>
      <c r="X189" s="73"/>
      <c r="Y189" s="73"/>
      <c r="Z189" s="73"/>
      <c r="AA189" s="73"/>
      <c r="AB189" s="57">
        <f t="shared" si="10"/>
        <v>0</v>
      </c>
      <c r="AC189" s="73"/>
      <c r="AD189" s="73"/>
      <c r="AE189" s="73"/>
      <c r="AF189" s="73"/>
      <c r="AG189" s="58" t="e">
        <f t="shared" si="11"/>
        <v>#DIV/0!</v>
      </c>
      <c r="AH189" s="73"/>
    </row>
    <row r="190" ht="14.25" spans="1:34">
      <c r="A190" s="52">
        <v>188</v>
      </c>
      <c r="B190" s="61" t="s">
        <v>1013</v>
      </c>
      <c r="C190" s="62" t="s">
        <v>278</v>
      </c>
      <c r="D190" s="64" t="s">
        <v>1021</v>
      </c>
      <c r="E190" s="57">
        <v>36</v>
      </c>
      <c r="F190" s="52">
        <v>1.355</v>
      </c>
      <c r="G190" s="57">
        <v>1.194</v>
      </c>
      <c r="H190" s="58">
        <f t="shared" si="12"/>
        <v>1.31435</v>
      </c>
      <c r="I190" s="52">
        <v>40</v>
      </c>
      <c r="J190" s="52">
        <v>1.419</v>
      </c>
      <c r="K190" s="56">
        <v>1376</v>
      </c>
      <c r="L190" s="56">
        <v>650</v>
      </c>
      <c r="M190" s="57">
        <v>0</v>
      </c>
      <c r="N190" s="57">
        <v>0</v>
      </c>
      <c r="O190" s="57">
        <v>0</v>
      </c>
      <c r="P190" s="57">
        <v>0</v>
      </c>
      <c r="Q190" s="57">
        <v>0</v>
      </c>
      <c r="R190" s="73"/>
      <c r="S190" s="73"/>
      <c r="T190" s="73"/>
      <c r="U190" s="73"/>
      <c r="V190" s="73"/>
      <c r="W190" s="57">
        <f t="shared" si="13"/>
        <v>0</v>
      </c>
      <c r="X190" s="73"/>
      <c r="Y190" s="73"/>
      <c r="Z190" s="73"/>
      <c r="AA190" s="73"/>
      <c r="AB190" s="57">
        <f t="shared" si="10"/>
        <v>0</v>
      </c>
      <c r="AC190" s="73"/>
      <c r="AD190" s="73"/>
      <c r="AE190" s="73"/>
      <c r="AF190" s="73"/>
      <c r="AG190" s="58" t="e">
        <f t="shared" si="11"/>
        <v>#DIV/0!</v>
      </c>
      <c r="AH190" s="73"/>
    </row>
    <row r="191" ht="14.25" spans="1:34">
      <c r="A191" s="52">
        <v>189</v>
      </c>
      <c r="B191" s="61" t="s">
        <v>1013</v>
      </c>
      <c r="C191" s="62" t="s">
        <v>278</v>
      </c>
      <c r="D191" s="64" t="s">
        <v>663</v>
      </c>
      <c r="E191" s="57">
        <v>36</v>
      </c>
      <c r="F191" s="52">
        <v>1.531</v>
      </c>
      <c r="G191" s="57">
        <v>1.297</v>
      </c>
      <c r="H191" s="58">
        <f t="shared" si="12"/>
        <v>1.48507</v>
      </c>
      <c r="I191" s="52">
        <v>40</v>
      </c>
      <c r="J191" s="52">
        <v>1.419</v>
      </c>
      <c r="K191" s="56">
        <v>1598</v>
      </c>
      <c r="L191" s="56">
        <v>641</v>
      </c>
      <c r="M191" s="57">
        <v>0</v>
      </c>
      <c r="N191" s="57">
        <v>0</v>
      </c>
      <c r="O191" s="57">
        <v>0</v>
      </c>
      <c r="P191" s="57">
        <v>0</v>
      </c>
      <c r="Q191" s="57">
        <v>0</v>
      </c>
      <c r="R191" s="73"/>
      <c r="S191" s="73"/>
      <c r="T191" s="73"/>
      <c r="U191" s="73"/>
      <c r="V191" s="73"/>
      <c r="W191" s="57">
        <f t="shared" si="13"/>
        <v>0</v>
      </c>
      <c r="X191" s="73"/>
      <c r="Y191" s="73"/>
      <c r="Z191" s="73"/>
      <c r="AA191" s="73"/>
      <c r="AB191" s="57">
        <f t="shared" si="10"/>
        <v>0</v>
      </c>
      <c r="AC191" s="81">
        <v>0.532</v>
      </c>
      <c r="AD191" s="73"/>
      <c r="AE191" s="73"/>
      <c r="AF191" s="73"/>
      <c r="AG191" s="58" t="e">
        <f t="shared" si="11"/>
        <v>#DIV/0!</v>
      </c>
      <c r="AH191" s="73"/>
    </row>
    <row r="192" ht="14.25" spans="1:34">
      <c r="A192" s="52">
        <v>190</v>
      </c>
      <c r="B192" s="61" t="s">
        <v>1013</v>
      </c>
      <c r="C192" s="62" t="s">
        <v>278</v>
      </c>
      <c r="D192" s="64" t="s">
        <v>1022</v>
      </c>
      <c r="E192" s="57">
        <v>39</v>
      </c>
      <c r="F192" s="52">
        <v>1.535</v>
      </c>
      <c r="G192" s="57">
        <v>1.254</v>
      </c>
      <c r="H192" s="58">
        <f t="shared" si="12"/>
        <v>1.48895</v>
      </c>
      <c r="I192" s="52">
        <v>37</v>
      </c>
      <c r="J192" s="52">
        <v>1.442</v>
      </c>
      <c r="K192" s="56">
        <v>1550</v>
      </c>
      <c r="L192" s="56">
        <v>649</v>
      </c>
      <c r="M192" s="57">
        <v>0</v>
      </c>
      <c r="N192" s="57">
        <v>0</v>
      </c>
      <c r="O192" s="57">
        <v>0</v>
      </c>
      <c r="P192" s="57">
        <v>0</v>
      </c>
      <c r="Q192" s="57">
        <v>0</v>
      </c>
      <c r="R192" s="73"/>
      <c r="S192" s="73"/>
      <c r="T192" s="73"/>
      <c r="U192" s="73"/>
      <c r="V192" s="73"/>
      <c r="W192" s="57">
        <f t="shared" si="13"/>
        <v>0</v>
      </c>
      <c r="X192" s="73"/>
      <c r="Y192" s="73"/>
      <c r="Z192" s="73"/>
      <c r="AA192" s="73"/>
      <c r="AB192" s="57">
        <f t="shared" si="10"/>
        <v>0</v>
      </c>
      <c r="AC192" s="73"/>
      <c r="AD192" s="73"/>
      <c r="AE192" s="73"/>
      <c r="AF192" s="73"/>
      <c r="AG192" s="58" t="e">
        <f t="shared" si="11"/>
        <v>#DIV/0!</v>
      </c>
      <c r="AH192" s="73"/>
    </row>
    <row r="193" ht="14.25" spans="1:34">
      <c r="A193" s="52">
        <v>191</v>
      </c>
      <c r="B193" s="61" t="s">
        <v>1013</v>
      </c>
      <c r="C193" s="62" t="s">
        <v>278</v>
      </c>
      <c r="D193" s="64" t="s">
        <v>1023</v>
      </c>
      <c r="E193" s="57">
        <v>39</v>
      </c>
      <c r="F193" s="52">
        <v>1.45</v>
      </c>
      <c r="G193" s="57">
        <v>1.188</v>
      </c>
      <c r="H193" s="58">
        <f t="shared" si="12"/>
        <v>1.4065</v>
      </c>
      <c r="I193" s="52">
        <v>38</v>
      </c>
      <c r="J193" s="52">
        <v>1.419</v>
      </c>
      <c r="K193" s="56">
        <v>1504</v>
      </c>
      <c r="L193" s="56">
        <v>686</v>
      </c>
      <c r="M193" s="57">
        <v>0</v>
      </c>
      <c r="N193" s="57">
        <v>0</v>
      </c>
      <c r="O193" s="57">
        <v>0</v>
      </c>
      <c r="P193" s="57">
        <v>0</v>
      </c>
      <c r="Q193" s="57">
        <v>0</v>
      </c>
      <c r="R193" s="73"/>
      <c r="S193" s="73"/>
      <c r="T193" s="73"/>
      <c r="U193" s="73"/>
      <c r="V193" s="73"/>
      <c r="W193" s="57">
        <f t="shared" si="13"/>
        <v>0</v>
      </c>
      <c r="X193" s="73"/>
      <c r="Y193" s="73"/>
      <c r="Z193" s="73"/>
      <c r="AA193" s="73"/>
      <c r="AB193" s="57">
        <f t="shared" si="10"/>
        <v>0</v>
      </c>
      <c r="AC193" s="73"/>
      <c r="AD193" s="73"/>
      <c r="AE193" s="73"/>
      <c r="AF193" s="73"/>
      <c r="AG193" s="58" t="e">
        <f t="shared" si="11"/>
        <v>#DIV/0!</v>
      </c>
      <c r="AH193" s="73"/>
    </row>
    <row r="194" ht="14.25" spans="1:34">
      <c r="A194" s="52">
        <v>192</v>
      </c>
      <c r="B194" s="61" t="s">
        <v>1013</v>
      </c>
      <c r="C194" s="62" t="s">
        <v>278</v>
      </c>
      <c r="D194" s="64" t="s">
        <v>1024</v>
      </c>
      <c r="E194" s="57">
        <v>35</v>
      </c>
      <c r="F194" s="52">
        <v>1.283</v>
      </c>
      <c r="G194" s="57">
        <v>1.102</v>
      </c>
      <c r="H194" s="58">
        <f t="shared" si="12"/>
        <v>1.24451</v>
      </c>
      <c r="I194" s="52">
        <v>36</v>
      </c>
      <c r="J194" s="52">
        <v>1.341</v>
      </c>
      <c r="K194" s="56">
        <v>1344</v>
      </c>
      <c r="L194" s="56">
        <v>667</v>
      </c>
      <c r="M194" s="57">
        <v>0</v>
      </c>
      <c r="N194" s="57">
        <v>0</v>
      </c>
      <c r="O194" s="57">
        <v>0</v>
      </c>
      <c r="P194" s="57">
        <v>0</v>
      </c>
      <c r="Q194" s="57">
        <v>0</v>
      </c>
      <c r="R194" s="73"/>
      <c r="S194" s="73"/>
      <c r="T194" s="73"/>
      <c r="U194" s="73"/>
      <c r="V194" s="73"/>
      <c r="W194" s="57">
        <f t="shared" si="13"/>
        <v>0</v>
      </c>
      <c r="X194" s="73"/>
      <c r="Y194" s="73"/>
      <c r="Z194" s="73"/>
      <c r="AA194" s="73"/>
      <c r="AB194" s="57">
        <f t="shared" si="10"/>
        <v>0</v>
      </c>
      <c r="AC194" s="73"/>
      <c r="AD194" s="73"/>
      <c r="AE194" s="73"/>
      <c r="AF194" s="73"/>
      <c r="AG194" s="58" t="e">
        <f t="shared" si="11"/>
        <v>#DIV/0!</v>
      </c>
      <c r="AH194" s="73"/>
    </row>
    <row r="195" ht="14.25" spans="1:34">
      <c r="A195" s="52">
        <v>193</v>
      </c>
      <c r="B195" s="61" t="s">
        <v>1013</v>
      </c>
      <c r="C195" s="62" t="s">
        <v>482</v>
      </c>
      <c r="D195" s="65" t="s">
        <v>643</v>
      </c>
      <c r="E195" s="57">
        <v>24</v>
      </c>
      <c r="F195" s="63">
        <v>1.065</v>
      </c>
      <c r="G195" s="57">
        <v>0.995</v>
      </c>
      <c r="H195" s="58">
        <f t="shared" si="12"/>
        <v>1.03305</v>
      </c>
      <c r="I195" s="52">
        <v>26</v>
      </c>
      <c r="J195" s="52">
        <v>1.029</v>
      </c>
      <c r="K195" s="56">
        <v>1219</v>
      </c>
      <c r="L195" s="56">
        <v>766</v>
      </c>
      <c r="M195" s="67">
        <v>1</v>
      </c>
      <c r="N195" s="57">
        <v>0</v>
      </c>
      <c r="O195" s="57">
        <v>0</v>
      </c>
      <c r="P195" s="57">
        <v>0</v>
      </c>
      <c r="Q195" s="57">
        <v>0</v>
      </c>
      <c r="R195" s="57">
        <v>0.3796</v>
      </c>
      <c r="S195" s="57"/>
      <c r="T195" s="57"/>
      <c r="U195" s="57">
        <v>0.8451</v>
      </c>
      <c r="V195" s="57"/>
      <c r="W195" s="57">
        <f t="shared" si="13"/>
        <v>0.8451</v>
      </c>
      <c r="X195" s="57"/>
      <c r="Y195" s="57"/>
      <c r="Z195" s="57">
        <v>0.5801</v>
      </c>
      <c r="AA195" s="57"/>
      <c r="AB195" s="57">
        <f t="shared" si="10"/>
        <v>0.5801</v>
      </c>
      <c r="AC195" s="57">
        <v>0.4983</v>
      </c>
      <c r="AD195" s="57"/>
      <c r="AE195" s="57"/>
      <c r="AF195" s="58">
        <v>0.75</v>
      </c>
      <c r="AG195" s="58">
        <f t="shared" si="11"/>
        <v>0.887468938587149</v>
      </c>
      <c r="AH195" s="58">
        <v>0.69</v>
      </c>
    </row>
    <row r="196" ht="14.25" spans="1:34">
      <c r="A196" s="52">
        <v>194</v>
      </c>
      <c r="B196" s="61" t="s">
        <v>1013</v>
      </c>
      <c r="C196" s="62" t="s">
        <v>482</v>
      </c>
      <c r="D196" s="64" t="s">
        <v>1025</v>
      </c>
      <c r="E196" s="57">
        <v>26</v>
      </c>
      <c r="F196" s="52">
        <v>1.081</v>
      </c>
      <c r="G196" s="57">
        <v>1.009</v>
      </c>
      <c r="H196" s="58">
        <f t="shared" si="12"/>
        <v>1.04857</v>
      </c>
      <c r="I196" s="52">
        <v>30</v>
      </c>
      <c r="J196" s="52">
        <v>1.234</v>
      </c>
      <c r="K196" s="56">
        <v>1231</v>
      </c>
      <c r="L196" s="56">
        <v>725</v>
      </c>
      <c r="M196" s="57">
        <v>0</v>
      </c>
      <c r="N196" s="57">
        <v>0</v>
      </c>
      <c r="O196" s="57">
        <v>0</v>
      </c>
      <c r="P196" s="57">
        <v>0</v>
      </c>
      <c r="Q196" s="57">
        <v>0</v>
      </c>
      <c r="R196" s="57">
        <v>0.3796</v>
      </c>
      <c r="S196" s="57"/>
      <c r="T196" s="57"/>
      <c r="U196" s="57">
        <v>0.8451</v>
      </c>
      <c r="V196" s="57"/>
      <c r="W196" s="57">
        <f t="shared" si="13"/>
        <v>0.8451</v>
      </c>
      <c r="X196" s="57"/>
      <c r="Y196" s="57"/>
      <c r="Z196" s="57">
        <v>0.5801</v>
      </c>
      <c r="AA196" s="57"/>
      <c r="AB196" s="57">
        <f t="shared" ref="AB196:AB259" si="14">IF(Y196="",Z196,Y196*0.4+Z196*0.6)</f>
        <v>0.5801</v>
      </c>
      <c r="AC196" s="57">
        <v>0.4983</v>
      </c>
      <c r="AD196" s="57"/>
      <c r="AE196" s="57"/>
      <c r="AF196" s="73"/>
      <c r="AG196" s="58">
        <f t="shared" ref="AG196:AG259" si="15">1-(W196-AF196)/W196</f>
        <v>0</v>
      </c>
      <c r="AH196" s="73"/>
    </row>
    <row r="197" ht="14.25" spans="1:34">
      <c r="A197" s="52">
        <v>195</v>
      </c>
      <c r="B197" s="61" t="s">
        <v>1013</v>
      </c>
      <c r="C197" s="62" t="s">
        <v>482</v>
      </c>
      <c r="D197" s="64" t="s">
        <v>1026</v>
      </c>
      <c r="E197" s="57">
        <v>23</v>
      </c>
      <c r="F197" s="52">
        <v>1.062</v>
      </c>
      <c r="G197" s="57">
        <v>0.992</v>
      </c>
      <c r="H197" s="58">
        <f t="shared" si="12"/>
        <v>1.03014</v>
      </c>
      <c r="I197" s="52">
        <v>26</v>
      </c>
      <c r="J197" s="52">
        <v>1.029</v>
      </c>
      <c r="K197" s="56">
        <v>1218</v>
      </c>
      <c r="L197" s="56">
        <v>778</v>
      </c>
      <c r="M197" s="57">
        <v>0</v>
      </c>
      <c r="N197" s="57">
        <v>0</v>
      </c>
      <c r="O197" s="57">
        <v>0</v>
      </c>
      <c r="P197" s="57">
        <v>0</v>
      </c>
      <c r="Q197" s="57">
        <v>0</v>
      </c>
      <c r="R197" s="57">
        <v>0.3796</v>
      </c>
      <c r="S197" s="57"/>
      <c r="T197" s="57"/>
      <c r="U197" s="57">
        <v>0.8451</v>
      </c>
      <c r="V197" s="57"/>
      <c r="W197" s="57">
        <f t="shared" si="13"/>
        <v>0.8451</v>
      </c>
      <c r="X197" s="57"/>
      <c r="Y197" s="57"/>
      <c r="Z197" s="57">
        <v>0.5801</v>
      </c>
      <c r="AA197" s="57"/>
      <c r="AB197" s="57">
        <f t="shared" si="14"/>
        <v>0.5801</v>
      </c>
      <c r="AC197" s="57">
        <v>0.4983</v>
      </c>
      <c r="AD197" s="57"/>
      <c r="AE197" s="57"/>
      <c r="AF197" s="73"/>
      <c r="AG197" s="58">
        <f t="shared" si="15"/>
        <v>0</v>
      </c>
      <c r="AH197" s="73"/>
    </row>
    <row r="198" ht="14.25" spans="1:34">
      <c r="A198" s="52">
        <v>196</v>
      </c>
      <c r="B198" s="61" t="s">
        <v>1013</v>
      </c>
      <c r="C198" s="62" t="s">
        <v>482</v>
      </c>
      <c r="D198" s="64" t="s">
        <v>1027</v>
      </c>
      <c r="E198" s="57">
        <v>24</v>
      </c>
      <c r="F198" s="52">
        <v>1.065</v>
      </c>
      <c r="G198" s="57">
        <v>0.99</v>
      </c>
      <c r="H198" s="58">
        <f t="shared" si="12"/>
        <v>1.03305</v>
      </c>
      <c r="I198" s="52">
        <v>31</v>
      </c>
      <c r="J198" s="52">
        <v>1.283</v>
      </c>
      <c r="K198" s="56">
        <v>1221</v>
      </c>
      <c r="L198" s="56">
        <v>760</v>
      </c>
      <c r="M198" s="57">
        <v>0</v>
      </c>
      <c r="N198" s="57">
        <v>0</v>
      </c>
      <c r="O198" s="57">
        <v>0</v>
      </c>
      <c r="P198" s="57">
        <v>0</v>
      </c>
      <c r="Q198" s="57">
        <v>0</v>
      </c>
      <c r="R198" s="57">
        <v>0.3796</v>
      </c>
      <c r="S198" s="57"/>
      <c r="T198" s="57"/>
      <c r="U198" s="57">
        <v>0.8451</v>
      </c>
      <c r="V198" s="57"/>
      <c r="W198" s="57">
        <f t="shared" si="13"/>
        <v>0.8451</v>
      </c>
      <c r="X198" s="57"/>
      <c r="Y198" s="57"/>
      <c r="Z198" s="57">
        <v>0.5801</v>
      </c>
      <c r="AA198" s="57"/>
      <c r="AB198" s="57">
        <f t="shared" si="14"/>
        <v>0.5801</v>
      </c>
      <c r="AC198" s="57">
        <v>0.4983</v>
      </c>
      <c r="AD198" s="57"/>
      <c r="AE198" s="57"/>
      <c r="AF198" s="73"/>
      <c r="AG198" s="58">
        <f t="shared" si="15"/>
        <v>0</v>
      </c>
      <c r="AH198" s="73"/>
    </row>
    <row r="199" ht="14.25" spans="1:34">
      <c r="A199" s="52">
        <v>197</v>
      </c>
      <c r="B199" s="61" t="s">
        <v>1013</v>
      </c>
      <c r="C199" s="62" t="s">
        <v>482</v>
      </c>
      <c r="D199" s="64" t="s">
        <v>1028</v>
      </c>
      <c r="E199" s="57">
        <v>30</v>
      </c>
      <c r="F199" s="52">
        <v>1.212</v>
      </c>
      <c r="G199" s="57">
        <v>1.098</v>
      </c>
      <c r="H199" s="58">
        <f t="shared" si="12"/>
        <v>1.17564</v>
      </c>
      <c r="I199" s="52">
        <v>33</v>
      </c>
      <c r="J199" s="52">
        <v>1.341</v>
      </c>
      <c r="K199" s="56">
        <v>1329</v>
      </c>
      <c r="L199" s="56">
        <v>732</v>
      </c>
      <c r="M199" s="57">
        <v>0</v>
      </c>
      <c r="N199" s="57">
        <v>0</v>
      </c>
      <c r="O199" s="57">
        <v>0</v>
      </c>
      <c r="P199" s="57">
        <v>0</v>
      </c>
      <c r="Q199" s="57">
        <v>0</v>
      </c>
      <c r="R199" s="57">
        <v>0.3796</v>
      </c>
      <c r="S199" s="57"/>
      <c r="T199" s="57"/>
      <c r="U199" s="57">
        <v>0.8451</v>
      </c>
      <c r="V199" s="57"/>
      <c r="W199" s="57">
        <f t="shared" si="13"/>
        <v>0.8451</v>
      </c>
      <c r="X199" s="57"/>
      <c r="Y199" s="57"/>
      <c r="Z199" s="57">
        <v>0.5801</v>
      </c>
      <c r="AA199" s="57"/>
      <c r="AB199" s="57">
        <f t="shared" si="14"/>
        <v>0.5801</v>
      </c>
      <c r="AC199" s="57">
        <v>0.4983</v>
      </c>
      <c r="AD199" s="57"/>
      <c r="AE199" s="57"/>
      <c r="AF199" s="73"/>
      <c r="AG199" s="58">
        <f t="shared" si="15"/>
        <v>0</v>
      </c>
      <c r="AH199" s="73"/>
    </row>
    <row r="200" ht="14.25" spans="1:34">
      <c r="A200" s="52">
        <v>198</v>
      </c>
      <c r="B200" s="61" t="s">
        <v>1013</v>
      </c>
      <c r="C200" s="62" t="s">
        <v>482</v>
      </c>
      <c r="D200" s="64" t="s">
        <v>642</v>
      </c>
      <c r="E200" s="57">
        <v>34</v>
      </c>
      <c r="F200" s="52">
        <v>1.266</v>
      </c>
      <c r="G200" s="57">
        <v>1.133</v>
      </c>
      <c r="H200" s="58">
        <f t="shared" si="12"/>
        <v>1.22802</v>
      </c>
      <c r="I200" s="52">
        <v>35</v>
      </c>
      <c r="J200" s="52">
        <v>1.439</v>
      </c>
      <c r="K200" s="56">
        <v>1383</v>
      </c>
      <c r="L200" s="56">
        <v>732</v>
      </c>
      <c r="M200" s="57">
        <v>0</v>
      </c>
      <c r="N200" s="57">
        <v>0</v>
      </c>
      <c r="O200" s="57">
        <v>0</v>
      </c>
      <c r="P200" s="57">
        <v>0</v>
      </c>
      <c r="Q200" s="57">
        <v>0</v>
      </c>
      <c r="R200" s="57">
        <v>0.3796</v>
      </c>
      <c r="S200" s="57"/>
      <c r="T200" s="57"/>
      <c r="U200" s="57">
        <v>0.8451</v>
      </c>
      <c r="V200" s="57"/>
      <c r="W200" s="57">
        <f t="shared" si="13"/>
        <v>0.8451</v>
      </c>
      <c r="X200" s="57"/>
      <c r="Y200" s="57"/>
      <c r="Z200" s="57">
        <v>0.5801</v>
      </c>
      <c r="AA200" s="57"/>
      <c r="AB200" s="57">
        <f t="shared" si="14"/>
        <v>0.5801</v>
      </c>
      <c r="AC200" s="57">
        <v>0.4983</v>
      </c>
      <c r="AD200" s="57"/>
      <c r="AE200" s="57"/>
      <c r="AF200" s="73"/>
      <c r="AG200" s="58">
        <f t="shared" si="15"/>
        <v>0</v>
      </c>
      <c r="AH200" s="73"/>
    </row>
    <row r="201" ht="14.25" spans="1:34">
      <c r="A201" s="52">
        <v>199</v>
      </c>
      <c r="B201" s="61" t="s">
        <v>1013</v>
      </c>
      <c r="C201" s="62" t="s">
        <v>482</v>
      </c>
      <c r="D201" s="64" t="s">
        <v>1029</v>
      </c>
      <c r="E201" s="57">
        <v>37</v>
      </c>
      <c r="F201" s="52">
        <v>1.516</v>
      </c>
      <c r="G201" s="57">
        <v>1.267</v>
      </c>
      <c r="H201" s="58">
        <f t="shared" si="12"/>
        <v>1.47052</v>
      </c>
      <c r="I201" s="52">
        <v>38</v>
      </c>
      <c r="J201" s="52">
        <v>1.557</v>
      </c>
      <c r="K201" s="56">
        <v>1529</v>
      </c>
      <c r="L201" s="56">
        <v>663</v>
      </c>
      <c r="M201" s="57">
        <v>0</v>
      </c>
      <c r="N201" s="57">
        <v>0</v>
      </c>
      <c r="O201" s="57">
        <v>0</v>
      </c>
      <c r="P201" s="57">
        <v>0</v>
      </c>
      <c r="Q201" s="57">
        <v>0</v>
      </c>
      <c r="R201" s="57">
        <v>0.3796</v>
      </c>
      <c r="S201" s="57"/>
      <c r="T201" s="57"/>
      <c r="U201" s="57">
        <v>0.8451</v>
      </c>
      <c r="V201" s="57"/>
      <c r="W201" s="57">
        <f t="shared" si="13"/>
        <v>0.8451</v>
      </c>
      <c r="X201" s="57"/>
      <c r="Y201" s="57"/>
      <c r="Z201" s="57">
        <v>0.5801</v>
      </c>
      <c r="AA201" s="57"/>
      <c r="AB201" s="57">
        <f t="shared" si="14"/>
        <v>0.5801</v>
      </c>
      <c r="AC201" s="57">
        <v>0.4983</v>
      </c>
      <c r="AD201" s="57"/>
      <c r="AE201" s="57"/>
      <c r="AF201" s="73"/>
      <c r="AG201" s="58">
        <f t="shared" si="15"/>
        <v>0</v>
      </c>
      <c r="AH201" s="73"/>
    </row>
    <row r="202" ht="14.25" spans="1:34">
      <c r="A202" s="52">
        <v>200</v>
      </c>
      <c r="B202" s="61" t="s">
        <v>1013</v>
      </c>
      <c r="C202" s="62" t="s">
        <v>482</v>
      </c>
      <c r="D202" s="64" t="s">
        <v>1030</v>
      </c>
      <c r="E202" s="57">
        <v>25</v>
      </c>
      <c r="F202" s="52">
        <v>1.056</v>
      </c>
      <c r="G202" s="57">
        <v>0.984</v>
      </c>
      <c r="H202" s="58">
        <f t="shared" si="12"/>
        <v>1.02432</v>
      </c>
      <c r="I202" s="52">
        <v>29</v>
      </c>
      <c r="J202" s="52">
        <v>1.171</v>
      </c>
      <c r="K202" s="56">
        <v>1213</v>
      </c>
      <c r="L202" s="56">
        <v>747</v>
      </c>
      <c r="M202" s="57">
        <v>0</v>
      </c>
      <c r="N202" s="57">
        <v>0</v>
      </c>
      <c r="O202" s="57">
        <v>0</v>
      </c>
      <c r="P202" s="57">
        <v>0</v>
      </c>
      <c r="Q202" s="57">
        <v>0</v>
      </c>
      <c r="R202" s="57">
        <v>0.3796</v>
      </c>
      <c r="S202" s="57"/>
      <c r="T202" s="57"/>
      <c r="U202" s="57">
        <v>0.8451</v>
      </c>
      <c r="V202" s="57"/>
      <c r="W202" s="57">
        <f t="shared" si="13"/>
        <v>0.8451</v>
      </c>
      <c r="X202" s="57"/>
      <c r="Y202" s="57"/>
      <c r="Z202" s="57">
        <v>0.5801</v>
      </c>
      <c r="AA202" s="57"/>
      <c r="AB202" s="57">
        <f t="shared" si="14"/>
        <v>0.5801</v>
      </c>
      <c r="AC202" s="57">
        <v>0.4983</v>
      </c>
      <c r="AD202" s="57"/>
      <c r="AE202" s="57"/>
      <c r="AF202" s="73"/>
      <c r="AG202" s="58">
        <f t="shared" si="15"/>
        <v>0</v>
      </c>
      <c r="AH202" s="73"/>
    </row>
    <row r="203" ht="14.25" spans="1:34">
      <c r="A203" s="52">
        <v>201</v>
      </c>
      <c r="B203" s="61" t="s">
        <v>1013</v>
      </c>
      <c r="C203" s="62" t="s">
        <v>482</v>
      </c>
      <c r="D203" s="64" t="s">
        <v>1031</v>
      </c>
      <c r="E203" s="57">
        <v>26</v>
      </c>
      <c r="F203" s="52">
        <v>1.119</v>
      </c>
      <c r="G203" s="57">
        <v>1.037</v>
      </c>
      <c r="H203" s="58">
        <f t="shared" si="12"/>
        <v>1.08543</v>
      </c>
      <c r="I203" s="52">
        <v>26</v>
      </c>
      <c r="J203" s="52">
        <v>1.11</v>
      </c>
      <c r="K203" s="56">
        <v>1281</v>
      </c>
      <c r="L203" s="56">
        <v>730</v>
      </c>
      <c r="M203" s="57">
        <v>0</v>
      </c>
      <c r="N203" s="57">
        <v>0</v>
      </c>
      <c r="O203" s="57">
        <v>0</v>
      </c>
      <c r="P203" s="57">
        <v>0</v>
      </c>
      <c r="Q203" s="57">
        <v>0</v>
      </c>
      <c r="R203" s="57">
        <v>0.3796</v>
      </c>
      <c r="S203" s="57"/>
      <c r="T203" s="57"/>
      <c r="U203" s="57">
        <v>0.8451</v>
      </c>
      <c r="V203" s="57"/>
      <c r="W203" s="57">
        <f t="shared" si="13"/>
        <v>0.8451</v>
      </c>
      <c r="X203" s="57"/>
      <c r="Y203" s="57"/>
      <c r="Z203" s="57">
        <v>0.5801</v>
      </c>
      <c r="AA203" s="57"/>
      <c r="AB203" s="57">
        <f t="shared" si="14"/>
        <v>0.5801</v>
      </c>
      <c r="AC203" s="57">
        <v>0.4983</v>
      </c>
      <c r="AD203" s="57"/>
      <c r="AE203" s="57"/>
      <c r="AF203" s="73"/>
      <c r="AG203" s="58">
        <f t="shared" si="15"/>
        <v>0</v>
      </c>
      <c r="AH203" s="73"/>
    </row>
    <row r="204" ht="14.25" spans="1:34">
      <c r="A204" s="57">
        <v>202</v>
      </c>
      <c r="B204" s="61" t="s">
        <v>1013</v>
      </c>
      <c r="C204" s="62" t="s">
        <v>482</v>
      </c>
      <c r="D204" s="56" t="s">
        <v>1032</v>
      </c>
      <c r="E204" s="57">
        <v>25</v>
      </c>
      <c r="F204" s="57">
        <v>1.055</v>
      </c>
      <c r="G204" s="57">
        <v>0.987</v>
      </c>
      <c r="H204" s="58">
        <f t="shared" si="12"/>
        <v>1.02335</v>
      </c>
      <c r="I204" s="57">
        <v>26</v>
      </c>
      <c r="J204" s="57">
        <v>1.029</v>
      </c>
      <c r="K204" s="56">
        <v>1225</v>
      </c>
      <c r="L204" s="56">
        <v>737</v>
      </c>
      <c r="M204" s="57">
        <v>0</v>
      </c>
      <c r="N204" s="57">
        <v>0</v>
      </c>
      <c r="O204" s="57">
        <v>0</v>
      </c>
      <c r="P204" s="57">
        <v>0</v>
      </c>
      <c r="Q204" s="57">
        <v>0</v>
      </c>
      <c r="R204" s="57">
        <v>0.3796</v>
      </c>
      <c r="S204" s="57"/>
      <c r="T204" s="57"/>
      <c r="U204" s="57">
        <v>0.8451</v>
      </c>
      <c r="V204" s="57"/>
      <c r="W204" s="57">
        <f t="shared" si="13"/>
        <v>0.8451</v>
      </c>
      <c r="X204" s="57"/>
      <c r="Y204" s="57"/>
      <c r="Z204" s="57">
        <v>0.5801</v>
      </c>
      <c r="AA204" s="57"/>
      <c r="AB204" s="57">
        <f t="shared" si="14"/>
        <v>0.5801</v>
      </c>
      <c r="AC204" s="57">
        <v>0.4983</v>
      </c>
      <c r="AD204" s="57"/>
      <c r="AE204" s="57"/>
      <c r="AF204" s="72"/>
      <c r="AG204" s="58">
        <f t="shared" si="15"/>
        <v>0</v>
      </c>
      <c r="AH204" s="72"/>
    </row>
    <row r="205" ht="14.25" spans="1:34">
      <c r="A205" s="52">
        <v>203</v>
      </c>
      <c r="B205" s="61" t="s">
        <v>1013</v>
      </c>
      <c r="C205" s="62" t="s">
        <v>1033</v>
      </c>
      <c r="D205" s="65" t="s">
        <v>648</v>
      </c>
      <c r="E205" s="57">
        <v>33</v>
      </c>
      <c r="F205" s="63">
        <v>1.364</v>
      </c>
      <c r="G205" s="57">
        <v>1.211</v>
      </c>
      <c r="H205" s="58">
        <f t="shared" ref="H205:H268" si="16">F205*0.97</f>
        <v>1.32308</v>
      </c>
      <c r="I205" s="52">
        <v>29</v>
      </c>
      <c r="J205" s="52">
        <v>1.214</v>
      </c>
      <c r="K205" s="56">
        <v>1468</v>
      </c>
      <c r="L205" s="79">
        <v>718</v>
      </c>
      <c r="M205" s="57">
        <v>0</v>
      </c>
      <c r="N205" s="57">
        <v>0</v>
      </c>
      <c r="O205" s="57">
        <v>0</v>
      </c>
      <c r="P205" s="57">
        <v>0</v>
      </c>
      <c r="Q205" s="57">
        <v>0</v>
      </c>
      <c r="R205" s="57">
        <v>0.325</v>
      </c>
      <c r="S205" s="57"/>
      <c r="T205" s="57">
        <v>1.1778</v>
      </c>
      <c r="U205" s="57">
        <v>0.7927</v>
      </c>
      <c r="V205" s="57">
        <v>0.4076</v>
      </c>
      <c r="W205" s="57">
        <f t="shared" si="13"/>
        <v>0.94674</v>
      </c>
      <c r="X205" s="57"/>
      <c r="Y205" s="57">
        <v>0.709075</v>
      </c>
      <c r="Z205" s="57">
        <v>0.48055</v>
      </c>
      <c r="AA205" s="57">
        <v>0.252025</v>
      </c>
      <c r="AB205" s="57">
        <f t="shared" si="14"/>
        <v>0.57196</v>
      </c>
      <c r="AC205" s="57">
        <v>0.744</v>
      </c>
      <c r="AD205" s="57">
        <v>0.5</v>
      </c>
      <c r="AE205" s="57">
        <v>0.256</v>
      </c>
      <c r="AF205" s="58">
        <v>0.7</v>
      </c>
      <c r="AG205" s="58">
        <f t="shared" si="15"/>
        <v>0.739379343853645</v>
      </c>
      <c r="AH205" s="58">
        <v>0.61</v>
      </c>
    </row>
    <row r="206" ht="14.25" spans="1:34">
      <c r="A206" s="52">
        <v>204</v>
      </c>
      <c r="B206" s="61" t="s">
        <v>1013</v>
      </c>
      <c r="C206" s="62" t="s">
        <v>1033</v>
      </c>
      <c r="D206" s="64" t="s">
        <v>646</v>
      </c>
      <c r="E206" s="57">
        <v>40</v>
      </c>
      <c r="F206" s="52">
        <v>1.724</v>
      </c>
      <c r="G206" s="57">
        <v>1.402</v>
      </c>
      <c r="H206" s="60">
        <f t="shared" si="16"/>
        <v>1.67228</v>
      </c>
      <c r="I206" s="68">
        <v>41</v>
      </c>
      <c r="J206" s="68">
        <v>1.597</v>
      </c>
      <c r="K206" s="59">
        <v>1696</v>
      </c>
      <c r="L206" s="79">
        <v>616</v>
      </c>
      <c r="M206" s="57">
        <v>0</v>
      </c>
      <c r="N206" s="57">
        <v>0</v>
      </c>
      <c r="O206" s="57">
        <v>0</v>
      </c>
      <c r="P206" s="57">
        <v>0</v>
      </c>
      <c r="Q206" s="57">
        <v>0</v>
      </c>
      <c r="R206" s="57">
        <v>0.325</v>
      </c>
      <c r="S206" s="57"/>
      <c r="T206" s="57">
        <v>1.1778</v>
      </c>
      <c r="U206" s="57">
        <v>0.7927</v>
      </c>
      <c r="V206" s="57">
        <v>0.4076</v>
      </c>
      <c r="W206" s="57">
        <f t="shared" si="13"/>
        <v>0.94674</v>
      </c>
      <c r="X206" s="57"/>
      <c r="Y206" s="57">
        <v>0.709075</v>
      </c>
      <c r="Z206" s="57">
        <v>0.48055</v>
      </c>
      <c r="AA206" s="57">
        <v>0.252025</v>
      </c>
      <c r="AB206" s="57">
        <f t="shared" si="14"/>
        <v>0.57196</v>
      </c>
      <c r="AC206" s="57">
        <v>0.744</v>
      </c>
      <c r="AD206" s="57">
        <v>0.5</v>
      </c>
      <c r="AE206" s="57">
        <v>0.256</v>
      </c>
      <c r="AF206" s="73"/>
      <c r="AG206" s="58">
        <f t="shared" si="15"/>
        <v>0</v>
      </c>
      <c r="AH206" s="73"/>
    </row>
    <row r="207" ht="14.25" spans="1:34">
      <c r="A207" s="52">
        <v>205</v>
      </c>
      <c r="B207" s="61" t="s">
        <v>1013</v>
      </c>
      <c r="C207" s="62" t="s">
        <v>1033</v>
      </c>
      <c r="D207" s="64" t="s">
        <v>1034</v>
      </c>
      <c r="E207" s="57">
        <v>40</v>
      </c>
      <c r="F207" s="52">
        <v>1.715</v>
      </c>
      <c r="G207" s="57">
        <v>1.401</v>
      </c>
      <c r="H207" s="60">
        <f t="shared" si="16"/>
        <v>1.66355</v>
      </c>
      <c r="I207" s="68">
        <v>41</v>
      </c>
      <c r="J207" s="68">
        <v>1.597</v>
      </c>
      <c r="K207" s="82">
        <v>1695</v>
      </c>
      <c r="L207" s="79">
        <v>615</v>
      </c>
      <c r="M207" s="57">
        <v>0</v>
      </c>
      <c r="N207" s="57">
        <v>0</v>
      </c>
      <c r="O207" s="57">
        <v>0</v>
      </c>
      <c r="P207" s="57">
        <v>0</v>
      </c>
      <c r="Q207" s="57">
        <v>0</v>
      </c>
      <c r="R207" s="57">
        <v>0.325</v>
      </c>
      <c r="S207" s="57"/>
      <c r="T207" s="57">
        <v>1.1778</v>
      </c>
      <c r="U207" s="57">
        <v>0.7927</v>
      </c>
      <c r="V207" s="57">
        <v>0.4076</v>
      </c>
      <c r="W207" s="57">
        <f t="shared" si="13"/>
        <v>0.94674</v>
      </c>
      <c r="X207" s="57"/>
      <c r="Y207" s="57">
        <v>0.709075</v>
      </c>
      <c r="Z207" s="57">
        <v>0.48055</v>
      </c>
      <c r="AA207" s="57">
        <v>0.252025</v>
      </c>
      <c r="AB207" s="57">
        <f t="shared" si="14"/>
        <v>0.57196</v>
      </c>
      <c r="AC207" s="57">
        <v>0.744</v>
      </c>
      <c r="AD207" s="57">
        <v>0.5</v>
      </c>
      <c r="AE207" s="57">
        <v>0.256</v>
      </c>
      <c r="AF207" s="73"/>
      <c r="AG207" s="58">
        <f t="shared" si="15"/>
        <v>0</v>
      </c>
      <c r="AH207" s="73"/>
    </row>
    <row r="208" ht="14.25" spans="1:34">
      <c r="A208" s="52">
        <v>206</v>
      </c>
      <c r="B208" s="61" t="s">
        <v>1013</v>
      </c>
      <c r="C208" s="62" t="s">
        <v>1033</v>
      </c>
      <c r="D208" s="64" t="s">
        <v>1035</v>
      </c>
      <c r="E208" s="57">
        <v>40</v>
      </c>
      <c r="F208" s="52">
        <v>1.661</v>
      </c>
      <c r="G208" s="57">
        <v>1.356</v>
      </c>
      <c r="H208" s="58">
        <f t="shared" si="16"/>
        <v>1.61117</v>
      </c>
      <c r="I208" s="52">
        <v>42</v>
      </c>
      <c r="J208" s="52">
        <v>1.612</v>
      </c>
      <c r="K208" s="79">
        <v>1646</v>
      </c>
      <c r="L208" s="79">
        <v>660</v>
      </c>
      <c r="M208" s="57">
        <v>0</v>
      </c>
      <c r="N208" s="57">
        <v>0</v>
      </c>
      <c r="O208" s="57">
        <v>0</v>
      </c>
      <c r="P208" s="57">
        <v>0</v>
      </c>
      <c r="Q208" s="57">
        <v>0</v>
      </c>
      <c r="R208" s="57">
        <v>0.325</v>
      </c>
      <c r="S208" s="57"/>
      <c r="T208" s="57">
        <v>1.1778</v>
      </c>
      <c r="U208" s="57">
        <v>0.7927</v>
      </c>
      <c r="V208" s="57">
        <v>0.4076</v>
      </c>
      <c r="W208" s="57">
        <f t="shared" si="13"/>
        <v>0.94674</v>
      </c>
      <c r="X208" s="57"/>
      <c r="Y208" s="57">
        <v>0.709075</v>
      </c>
      <c r="Z208" s="57">
        <v>0.48055</v>
      </c>
      <c r="AA208" s="57">
        <v>0.252025</v>
      </c>
      <c r="AB208" s="57">
        <f t="shared" si="14"/>
        <v>0.57196</v>
      </c>
      <c r="AC208" s="57">
        <v>0.744</v>
      </c>
      <c r="AD208" s="57">
        <v>0.5</v>
      </c>
      <c r="AE208" s="57">
        <v>0.256</v>
      </c>
      <c r="AF208" s="73"/>
      <c r="AG208" s="58">
        <f t="shared" si="15"/>
        <v>0</v>
      </c>
      <c r="AH208" s="73"/>
    </row>
    <row r="209" ht="14.25" spans="1:34">
      <c r="A209" s="52">
        <v>207</v>
      </c>
      <c r="B209" s="61" t="s">
        <v>1013</v>
      </c>
      <c r="C209" s="62" t="s">
        <v>1033</v>
      </c>
      <c r="D209" s="64" t="s">
        <v>1036</v>
      </c>
      <c r="E209" s="57">
        <v>32</v>
      </c>
      <c r="F209" s="52">
        <v>1.202</v>
      </c>
      <c r="G209" s="57">
        <v>1.078</v>
      </c>
      <c r="H209" s="58">
        <f t="shared" si="16"/>
        <v>1.16594</v>
      </c>
      <c r="I209" s="52">
        <v>32</v>
      </c>
      <c r="J209" s="52">
        <v>1.3</v>
      </c>
      <c r="K209" s="79">
        <v>1309</v>
      </c>
      <c r="L209" s="79">
        <v>710</v>
      </c>
      <c r="M209" s="57">
        <v>0</v>
      </c>
      <c r="N209" s="57">
        <v>0</v>
      </c>
      <c r="O209" s="57">
        <v>0</v>
      </c>
      <c r="P209" s="57">
        <v>0</v>
      </c>
      <c r="Q209" s="57">
        <v>0</v>
      </c>
      <c r="R209" s="57">
        <v>0.325</v>
      </c>
      <c r="S209" s="57"/>
      <c r="T209" s="57">
        <v>1.1778</v>
      </c>
      <c r="U209" s="57">
        <v>0.7927</v>
      </c>
      <c r="V209" s="57">
        <v>0.4076</v>
      </c>
      <c r="W209" s="57">
        <f t="shared" si="13"/>
        <v>0.94674</v>
      </c>
      <c r="X209" s="57"/>
      <c r="Y209" s="57">
        <v>0.709075</v>
      </c>
      <c r="Z209" s="57">
        <v>0.48055</v>
      </c>
      <c r="AA209" s="57">
        <v>0.252025</v>
      </c>
      <c r="AB209" s="57">
        <f t="shared" si="14"/>
        <v>0.57196</v>
      </c>
      <c r="AC209" s="57">
        <v>0.744</v>
      </c>
      <c r="AD209" s="57">
        <v>0.5</v>
      </c>
      <c r="AE209" s="57">
        <v>0.256</v>
      </c>
      <c r="AF209" s="73"/>
      <c r="AG209" s="58">
        <f t="shared" si="15"/>
        <v>0</v>
      </c>
      <c r="AH209" s="73"/>
    </row>
    <row r="210" ht="14.25" spans="1:34">
      <c r="A210" s="52">
        <v>208</v>
      </c>
      <c r="B210" s="61" t="s">
        <v>1013</v>
      </c>
      <c r="C210" s="62" t="s">
        <v>1033</v>
      </c>
      <c r="D210" s="64" t="s">
        <v>1037</v>
      </c>
      <c r="E210" s="57">
        <v>35</v>
      </c>
      <c r="F210" s="52">
        <v>1.44</v>
      </c>
      <c r="G210" s="57">
        <v>1.247</v>
      </c>
      <c r="H210" s="58">
        <f t="shared" si="16"/>
        <v>1.3968</v>
      </c>
      <c r="I210" s="52">
        <v>38</v>
      </c>
      <c r="J210" s="52">
        <v>1.531</v>
      </c>
      <c r="K210" s="79">
        <v>1499</v>
      </c>
      <c r="L210" s="79">
        <v>665</v>
      </c>
      <c r="M210" s="57">
        <v>0</v>
      </c>
      <c r="N210" s="57">
        <v>0</v>
      </c>
      <c r="O210" s="57">
        <v>0</v>
      </c>
      <c r="P210" s="57">
        <v>0</v>
      </c>
      <c r="Q210" s="57">
        <v>0</v>
      </c>
      <c r="R210" s="57">
        <v>0.325</v>
      </c>
      <c r="S210" s="57"/>
      <c r="T210" s="57">
        <v>1.1778</v>
      </c>
      <c r="U210" s="57">
        <v>0.7927</v>
      </c>
      <c r="V210" s="57">
        <v>0.4076</v>
      </c>
      <c r="W210" s="57">
        <f t="shared" si="13"/>
        <v>0.94674</v>
      </c>
      <c r="X210" s="57"/>
      <c r="Y210" s="57">
        <v>0.709075</v>
      </c>
      <c r="Z210" s="57">
        <v>0.48055</v>
      </c>
      <c r="AA210" s="57">
        <v>0.252025</v>
      </c>
      <c r="AB210" s="57">
        <f t="shared" si="14"/>
        <v>0.57196</v>
      </c>
      <c r="AC210" s="57">
        <v>0.744</v>
      </c>
      <c r="AD210" s="57">
        <v>0.5</v>
      </c>
      <c r="AE210" s="57">
        <v>0.256</v>
      </c>
      <c r="AF210" s="73"/>
      <c r="AG210" s="58">
        <f t="shared" si="15"/>
        <v>0</v>
      </c>
      <c r="AH210" s="73"/>
    </row>
    <row r="211" ht="14.25" spans="1:34">
      <c r="A211" s="52">
        <v>209</v>
      </c>
      <c r="B211" s="61" t="s">
        <v>1013</v>
      </c>
      <c r="C211" s="62" t="s">
        <v>1033</v>
      </c>
      <c r="D211" s="64" t="s">
        <v>1038</v>
      </c>
      <c r="E211" s="57">
        <v>33</v>
      </c>
      <c r="F211" s="52">
        <v>1.372</v>
      </c>
      <c r="G211" s="57">
        <v>1.223</v>
      </c>
      <c r="H211" s="58">
        <f t="shared" si="16"/>
        <v>1.33084</v>
      </c>
      <c r="I211" s="52">
        <v>38</v>
      </c>
      <c r="J211" s="52">
        <v>1.499</v>
      </c>
      <c r="K211" s="79">
        <v>1451</v>
      </c>
      <c r="L211" s="79">
        <v>716</v>
      </c>
      <c r="M211" s="57">
        <v>0</v>
      </c>
      <c r="N211" s="57">
        <v>0</v>
      </c>
      <c r="O211" s="57">
        <v>0</v>
      </c>
      <c r="P211" s="57">
        <v>0</v>
      </c>
      <c r="Q211" s="57">
        <v>0</v>
      </c>
      <c r="R211" s="57">
        <v>0.325</v>
      </c>
      <c r="S211" s="57"/>
      <c r="T211" s="57">
        <v>1.1778</v>
      </c>
      <c r="U211" s="57">
        <v>0.7927</v>
      </c>
      <c r="V211" s="57">
        <v>0.4076</v>
      </c>
      <c r="W211" s="57">
        <f t="shared" si="13"/>
        <v>0.94674</v>
      </c>
      <c r="X211" s="57"/>
      <c r="Y211" s="57">
        <v>0.709075</v>
      </c>
      <c r="Z211" s="57">
        <v>0.48055</v>
      </c>
      <c r="AA211" s="57">
        <v>0.252025</v>
      </c>
      <c r="AB211" s="57">
        <f t="shared" si="14"/>
        <v>0.57196</v>
      </c>
      <c r="AC211" s="57">
        <v>0.744</v>
      </c>
      <c r="AD211" s="57">
        <v>0.5</v>
      </c>
      <c r="AE211" s="57">
        <v>0.256</v>
      </c>
      <c r="AF211" s="73"/>
      <c r="AG211" s="58">
        <f t="shared" si="15"/>
        <v>0</v>
      </c>
      <c r="AH211" s="73"/>
    </row>
    <row r="212" ht="14.25" spans="1:34">
      <c r="A212" s="52">
        <v>210</v>
      </c>
      <c r="B212" s="61" t="s">
        <v>1013</v>
      </c>
      <c r="C212" s="62" t="s">
        <v>1033</v>
      </c>
      <c r="D212" s="64" t="s">
        <v>1039</v>
      </c>
      <c r="E212" s="57">
        <v>37</v>
      </c>
      <c r="F212" s="52">
        <v>1.529</v>
      </c>
      <c r="G212" s="57">
        <v>1.331</v>
      </c>
      <c r="H212" s="58">
        <f t="shared" si="16"/>
        <v>1.48313</v>
      </c>
      <c r="I212" s="52">
        <v>32</v>
      </c>
      <c r="J212" s="52">
        <v>1.3</v>
      </c>
      <c r="K212" s="79">
        <v>1562</v>
      </c>
      <c r="L212" s="79">
        <v>714</v>
      </c>
      <c r="M212" s="57">
        <v>0</v>
      </c>
      <c r="N212" s="57">
        <v>0</v>
      </c>
      <c r="O212" s="57">
        <v>0</v>
      </c>
      <c r="P212" s="57">
        <v>0</v>
      </c>
      <c r="Q212" s="57">
        <v>0</v>
      </c>
      <c r="R212" s="57">
        <v>0.325</v>
      </c>
      <c r="S212" s="57"/>
      <c r="T212" s="57">
        <v>1.1778</v>
      </c>
      <c r="U212" s="57">
        <v>0.7927</v>
      </c>
      <c r="V212" s="57">
        <v>0.4076</v>
      </c>
      <c r="W212" s="57">
        <f t="shared" ref="W212:W275" si="17">IF(T212="",U212,T212*40%+U212*60%)</f>
        <v>0.94674</v>
      </c>
      <c r="X212" s="57"/>
      <c r="Y212" s="57">
        <v>0.709075</v>
      </c>
      <c r="Z212" s="57">
        <v>0.48055</v>
      </c>
      <c r="AA212" s="57">
        <v>0.252025</v>
      </c>
      <c r="AB212" s="57">
        <f t="shared" si="14"/>
        <v>0.57196</v>
      </c>
      <c r="AC212" s="57">
        <v>0.744</v>
      </c>
      <c r="AD212" s="57">
        <v>0.5</v>
      </c>
      <c r="AE212" s="57">
        <v>0.256</v>
      </c>
      <c r="AF212" s="73"/>
      <c r="AG212" s="58">
        <f t="shared" si="15"/>
        <v>0</v>
      </c>
      <c r="AH212" s="73"/>
    </row>
    <row r="213" ht="14.25" spans="1:34">
      <c r="A213" s="52">
        <v>211</v>
      </c>
      <c r="B213" s="61" t="s">
        <v>1013</v>
      </c>
      <c r="C213" s="62" t="s">
        <v>1033</v>
      </c>
      <c r="D213" s="64" t="s">
        <v>1040</v>
      </c>
      <c r="E213" s="57">
        <v>40</v>
      </c>
      <c r="F213" s="52">
        <v>1.763</v>
      </c>
      <c r="G213" s="57">
        <v>1.436</v>
      </c>
      <c r="H213" s="58">
        <f t="shared" si="16"/>
        <v>1.71011</v>
      </c>
      <c r="I213" s="52">
        <v>39</v>
      </c>
      <c r="J213" s="52">
        <v>1.615</v>
      </c>
      <c r="K213" s="79">
        <v>1734</v>
      </c>
      <c r="L213" s="79">
        <v>623</v>
      </c>
      <c r="M213" s="57">
        <v>0</v>
      </c>
      <c r="N213" s="57">
        <v>0</v>
      </c>
      <c r="O213" s="57">
        <v>0</v>
      </c>
      <c r="P213" s="57">
        <v>0</v>
      </c>
      <c r="Q213" s="57">
        <v>0</v>
      </c>
      <c r="R213" s="57">
        <v>0.325</v>
      </c>
      <c r="S213" s="57"/>
      <c r="T213" s="57">
        <v>1.1778</v>
      </c>
      <c r="U213" s="57">
        <v>0.7927</v>
      </c>
      <c r="V213" s="57">
        <v>0.4076</v>
      </c>
      <c r="W213" s="57">
        <f t="shared" si="17"/>
        <v>0.94674</v>
      </c>
      <c r="X213" s="57"/>
      <c r="Y213" s="57">
        <v>0.709075</v>
      </c>
      <c r="Z213" s="57">
        <v>0.48055</v>
      </c>
      <c r="AA213" s="57">
        <v>0.252025</v>
      </c>
      <c r="AB213" s="57">
        <f t="shared" si="14"/>
        <v>0.57196</v>
      </c>
      <c r="AC213" s="57">
        <v>0.744</v>
      </c>
      <c r="AD213" s="57">
        <v>0.5</v>
      </c>
      <c r="AE213" s="57">
        <v>0.256</v>
      </c>
      <c r="AF213" s="73"/>
      <c r="AG213" s="58">
        <f t="shared" si="15"/>
        <v>0</v>
      </c>
      <c r="AH213" s="73"/>
    </row>
    <row r="214" ht="14.25" spans="1:34">
      <c r="A214" s="52">
        <v>212</v>
      </c>
      <c r="B214" s="61" t="s">
        <v>1013</v>
      </c>
      <c r="C214" s="62" t="s">
        <v>1033</v>
      </c>
      <c r="D214" s="64" t="s">
        <v>1041</v>
      </c>
      <c r="E214" s="57">
        <v>35</v>
      </c>
      <c r="F214" s="52">
        <v>1.386</v>
      </c>
      <c r="G214" s="57">
        <v>1.239</v>
      </c>
      <c r="H214" s="58">
        <f t="shared" si="16"/>
        <v>1.34442</v>
      </c>
      <c r="I214" s="52">
        <v>38</v>
      </c>
      <c r="J214" s="52">
        <v>1.499</v>
      </c>
      <c r="K214" s="79">
        <v>1464</v>
      </c>
      <c r="L214" s="79">
        <v>697</v>
      </c>
      <c r="M214" s="57">
        <v>0</v>
      </c>
      <c r="N214" s="57">
        <v>0</v>
      </c>
      <c r="O214" s="57">
        <v>0</v>
      </c>
      <c r="P214" s="57">
        <v>0</v>
      </c>
      <c r="Q214" s="57">
        <v>0</v>
      </c>
      <c r="R214" s="57">
        <v>0.325</v>
      </c>
      <c r="S214" s="57"/>
      <c r="T214" s="57">
        <v>1.1778</v>
      </c>
      <c r="U214" s="57">
        <v>0.7927</v>
      </c>
      <c r="V214" s="57">
        <v>0.4076</v>
      </c>
      <c r="W214" s="57">
        <f t="shared" si="17"/>
        <v>0.94674</v>
      </c>
      <c r="X214" s="57"/>
      <c r="Y214" s="57">
        <v>0.709075</v>
      </c>
      <c r="Z214" s="57">
        <v>0.48055</v>
      </c>
      <c r="AA214" s="57">
        <v>0.252025</v>
      </c>
      <c r="AB214" s="57">
        <f t="shared" si="14"/>
        <v>0.57196</v>
      </c>
      <c r="AC214" s="57">
        <v>0.744</v>
      </c>
      <c r="AD214" s="57">
        <v>0.5</v>
      </c>
      <c r="AE214" s="57">
        <v>0.256</v>
      </c>
      <c r="AF214" s="73"/>
      <c r="AG214" s="58">
        <f t="shared" si="15"/>
        <v>0</v>
      </c>
      <c r="AH214" s="73"/>
    </row>
    <row r="215" ht="14.25" spans="1:34">
      <c r="A215" s="52">
        <v>213</v>
      </c>
      <c r="B215" s="61" t="s">
        <v>1013</v>
      </c>
      <c r="C215" s="62" t="s">
        <v>1033</v>
      </c>
      <c r="D215" s="64" t="s">
        <v>1042</v>
      </c>
      <c r="E215" s="57">
        <v>30</v>
      </c>
      <c r="F215" s="52">
        <v>1.159</v>
      </c>
      <c r="G215" s="57">
        <v>1.06</v>
      </c>
      <c r="H215" s="58">
        <f t="shared" si="16"/>
        <v>1.12423</v>
      </c>
      <c r="I215" s="52">
        <v>28</v>
      </c>
      <c r="J215" s="52">
        <v>1.3</v>
      </c>
      <c r="K215" s="79">
        <v>1313</v>
      </c>
      <c r="L215" s="79">
        <v>746</v>
      </c>
      <c r="M215" s="57">
        <v>0</v>
      </c>
      <c r="N215" s="57">
        <v>0</v>
      </c>
      <c r="O215" s="57">
        <v>0</v>
      </c>
      <c r="P215" s="57">
        <v>0</v>
      </c>
      <c r="Q215" s="57">
        <v>0</v>
      </c>
      <c r="R215" s="57">
        <v>0.325</v>
      </c>
      <c r="S215" s="57"/>
      <c r="T215" s="57">
        <v>1.1778</v>
      </c>
      <c r="U215" s="57">
        <v>0.7927</v>
      </c>
      <c r="V215" s="57">
        <v>0.4076</v>
      </c>
      <c r="W215" s="57">
        <f t="shared" si="17"/>
        <v>0.94674</v>
      </c>
      <c r="X215" s="57"/>
      <c r="Y215" s="57">
        <v>0.709075</v>
      </c>
      <c r="Z215" s="57">
        <v>0.48055</v>
      </c>
      <c r="AA215" s="57">
        <v>0.252025</v>
      </c>
      <c r="AB215" s="57">
        <f t="shared" si="14"/>
        <v>0.57196</v>
      </c>
      <c r="AC215" s="57">
        <v>0.744</v>
      </c>
      <c r="AD215" s="57">
        <v>0.5</v>
      </c>
      <c r="AE215" s="57">
        <v>0.256</v>
      </c>
      <c r="AF215" s="73"/>
      <c r="AG215" s="58">
        <f t="shared" si="15"/>
        <v>0</v>
      </c>
      <c r="AH215" s="73"/>
    </row>
    <row r="216" ht="14.25" spans="1:34">
      <c r="A216" s="52">
        <v>214</v>
      </c>
      <c r="B216" s="61" t="s">
        <v>1013</v>
      </c>
      <c r="C216" s="62" t="s">
        <v>1033</v>
      </c>
      <c r="D216" s="64" t="s">
        <v>1043</v>
      </c>
      <c r="E216" s="57">
        <v>35</v>
      </c>
      <c r="F216" s="52">
        <v>1.516</v>
      </c>
      <c r="G216" s="57">
        <v>1.293</v>
      </c>
      <c r="H216" s="58">
        <f t="shared" si="16"/>
        <v>1.47052</v>
      </c>
      <c r="I216" s="52">
        <v>34</v>
      </c>
      <c r="J216" s="52">
        <v>1.373</v>
      </c>
      <c r="K216" s="79">
        <v>1561</v>
      </c>
      <c r="L216" s="79">
        <v>695</v>
      </c>
      <c r="M216" s="57">
        <v>0</v>
      </c>
      <c r="N216" s="57">
        <v>0</v>
      </c>
      <c r="O216" s="57">
        <v>0</v>
      </c>
      <c r="P216" s="57">
        <v>0</v>
      </c>
      <c r="Q216" s="57">
        <v>0</v>
      </c>
      <c r="R216" s="57">
        <v>0.325</v>
      </c>
      <c r="S216" s="57"/>
      <c r="T216" s="57">
        <v>1.1778</v>
      </c>
      <c r="U216" s="57">
        <v>0.7927</v>
      </c>
      <c r="V216" s="57">
        <v>0.4076</v>
      </c>
      <c r="W216" s="57">
        <f t="shared" si="17"/>
        <v>0.94674</v>
      </c>
      <c r="X216" s="57"/>
      <c r="Y216" s="57">
        <v>0.709075</v>
      </c>
      <c r="Z216" s="57">
        <v>0.48055</v>
      </c>
      <c r="AA216" s="57">
        <v>0.252025</v>
      </c>
      <c r="AB216" s="57">
        <f t="shared" si="14"/>
        <v>0.57196</v>
      </c>
      <c r="AC216" s="57">
        <v>0.744</v>
      </c>
      <c r="AD216" s="57">
        <v>0.5</v>
      </c>
      <c r="AE216" s="57">
        <v>0.256</v>
      </c>
      <c r="AF216" s="73"/>
      <c r="AG216" s="58">
        <f t="shared" si="15"/>
        <v>0</v>
      </c>
      <c r="AH216" s="73"/>
    </row>
    <row r="217" ht="14.25" spans="1:34">
      <c r="A217" s="52">
        <v>215</v>
      </c>
      <c r="B217" s="61" t="s">
        <v>1013</v>
      </c>
      <c r="C217" s="62" t="s">
        <v>1033</v>
      </c>
      <c r="D217" s="64" t="s">
        <v>1044</v>
      </c>
      <c r="E217" s="57">
        <v>35</v>
      </c>
      <c r="F217" s="52">
        <v>1.32</v>
      </c>
      <c r="G217" s="57">
        <v>1.165</v>
      </c>
      <c r="H217" s="58">
        <f t="shared" si="16"/>
        <v>1.2804</v>
      </c>
      <c r="I217" s="52">
        <v>34</v>
      </c>
      <c r="J217" s="52">
        <v>1.352</v>
      </c>
      <c r="K217" s="79">
        <v>1409</v>
      </c>
      <c r="L217" s="79">
        <v>695</v>
      </c>
      <c r="M217" s="57">
        <v>0</v>
      </c>
      <c r="N217" s="57">
        <v>0</v>
      </c>
      <c r="O217" s="57">
        <v>0</v>
      </c>
      <c r="P217" s="57">
        <v>0</v>
      </c>
      <c r="Q217" s="57">
        <v>0</v>
      </c>
      <c r="R217" s="57">
        <v>0.325</v>
      </c>
      <c r="S217" s="57"/>
      <c r="T217" s="57">
        <v>1.1778</v>
      </c>
      <c r="U217" s="57">
        <v>0.7927</v>
      </c>
      <c r="V217" s="57">
        <v>0.4076</v>
      </c>
      <c r="W217" s="57">
        <f t="shared" si="17"/>
        <v>0.94674</v>
      </c>
      <c r="X217" s="57"/>
      <c r="Y217" s="57">
        <v>0.709075</v>
      </c>
      <c r="Z217" s="57">
        <v>0.48055</v>
      </c>
      <c r="AA217" s="57">
        <v>0.252025</v>
      </c>
      <c r="AB217" s="57">
        <f t="shared" si="14"/>
        <v>0.57196</v>
      </c>
      <c r="AC217" s="57">
        <v>0.744</v>
      </c>
      <c r="AD217" s="57">
        <v>0.5</v>
      </c>
      <c r="AE217" s="57">
        <v>0.256</v>
      </c>
      <c r="AF217" s="73"/>
      <c r="AG217" s="58">
        <f t="shared" si="15"/>
        <v>0</v>
      </c>
      <c r="AH217" s="73"/>
    </row>
    <row r="218" ht="14.25" spans="1:34">
      <c r="A218" s="52">
        <v>216</v>
      </c>
      <c r="B218" s="61" t="s">
        <v>1013</v>
      </c>
      <c r="C218" s="62" t="s">
        <v>1033</v>
      </c>
      <c r="D218" s="64" t="s">
        <v>1045</v>
      </c>
      <c r="E218" s="57">
        <v>40</v>
      </c>
      <c r="F218" s="52">
        <v>1.792</v>
      </c>
      <c r="G218" s="57">
        <v>1.459</v>
      </c>
      <c r="H218" s="60">
        <f t="shared" si="16"/>
        <v>1.73824</v>
      </c>
      <c r="I218" s="68">
        <v>40</v>
      </c>
      <c r="J218" s="68">
        <v>1.491</v>
      </c>
      <c r="K218" s="82">
        <v>1750</v>
      </c>
      <c r="L218" s="79">
        <v>611</v>
      </c>
      <c r="M218" s="57">
        <v>0</v>
      </c>
      <c r="N218" s="57">
        <v>0</v>
      </c>
      <c r="O218" s="57">
        <v>0</v>
      </c>
      <c r="P218" s="57">
        <v>0</v>
      </c>
      <c r="Q218" s="57">
        <v>0</v>
      </c>
      <c r="R218" s="57">
        <v>0.325</v>
      </c>
      <c r="S218" s="57"/>
      <c r="T218" s="57">
        <v>1.1778</v>
      </c>
      <c r="U218" s="57">
        <v>0.7927</v>
      </c>
      <c r="V218" s="57">
        <v>0.4076</v>
      </c>
      <c r="W218" s="57">
        <f t="shared" si="17"/>
        <v>0.94674</v>
      </c>
      <c r="X218" s="57"/>
      <c r="Y218" s="57">
        <v>0.709075</v>
      </c>
      <c r="Z218" s="57">
        <v>0.48055</v>
      </c>
      <c r="AA218" s="57">
        <v>0.252025</v>
      </c>
      <c r="AB218" s="57">
        <f t="shared" si="14"/>
        <v>0.57196</v>
      </c>
      <c r="AC218" s="57">
        <v>0.744</v>
      </c>
      <c r="AD218" s="57">
        <v>0.5</v>
      </c>
      <c r="AE218" s="57">
        <v>0.256</v>
      </c>
      <c r="AF218" s="73"/>
      <c r="AG218" s="58">
        <f t="shared" si="15"/>
        <v>0</v>
      </c>
      <c r="AH218" s="73"/>
    </row>
    <row r="219" ht="14.25" spans="1:34">
      <c r="A219" s="52">
        <v>217</v>
      </c>
      <c r="B219" s="61" t="s">
        <v>1013</v>
      </c>
      <c r="C219" s="62" t="s">
        <v>277</v>
      </c>
      <c r="D219" s="65" t="s">
        <v>654</v>
      </c>
      <c r="E219" s="57">
        <v>38</v>
      </c>
      <c r="F219" s="63">
        <v>1.662</v>
      </c>
      <c r="G219" s="57">
        <v>1.365</v>
      </c>
      <c r="H219" s="58">
        <f t="shared" si="16"/>
        <v>1.61214</v>
      </c>
      <c r="I219" s="52">
        <v>36</v>
      </c>
      <c r="J219" s="52">
        <v>1.459</v>
      </c>
      <c r="K219" s="56">
        <v>1654</v>
      </c>
      <c r="L219" s="56">
        <v>665</v>
      </c>
      <c r="M219" s="57">
        <v>0</v>
      </c>
      <c r="N219" s="57">
        <v>0</v>
      </c>
      <c r="O219" s="57">
        <v>0</v>
      </c>
      <c r="P219" s="57">
        <v>0</v>
      </c>
      <c r="Q219" s="57">
        <v>0</v>
      </c>
      <c r="R219" s="57">
        <v>0.2711</v>
      </c>
      <c r="S219" s="57"/>
      <c r="T219" s="57"/>
      <c r="U219" s="57">
        <v>0.697</v>
      </c>
      <c r="V219" s="57"/>
      <c r="W219" s="57">
        <f t="shared" si="17"/>
        <v>0.697</v>
      </c>
      <c r="X219" s="57"/>
      <c r="Y219" s="57"/>
      <c r="Z219" s="57">
        <v>0.479</v>
      </c>
      <c r="AA219" s="57"/>
      <c r="AB219" s="57">
        <f t="shared" si="14"/>
        <v>0.479</v>
      </c>
      <c r="AC219" s="57">
        <v>0.4486</v>
      </c>
      <c r="AD219" s="57"/>
      <c r="AE219" s="57"/>
      <c r="AF219" s="58">
        <v>0.7</v>
      </c>
      <c r="AG219" s="58">
        <f t="shared" si="15"/>
        <v>1.00430416068867</v>
      </c>
      <c r="AH219" s="58">
        <v>0.6</v>
      </c>
    </row>
    <row r="220" ht="14.25" spans="1:34">
      <c r="A220" s="52">
        <v>218</v>
      </c>
      <c r="B220" s="61" t="s">
        <v>1013</v>
      </c>
      <c r="C220" s="62" t="s">
        <v>277</v>
      </c>
      <c r="D220" s="64" t="s">
        <v>1046</v>
      </c>
      <c r="E220" s="57">
        <v>39</v>
      </c>
      <c r="F220" s="52">
        <v>1.635</v>
      </c>
      <c r="G220" s="57">
        <v>1.345</v>
      </c>
      <c r="H220" s="58">
        <f t="shared" si="16"/>
        <v>1.58595</v>
      </c>
      <c r="I220" s="52">
        <v>39</v>
      </c>
      <c r="J220" s="52">
        <v>1.597</v>
      </c>
      <c r="K220" s="56">
        <v>1637</v>
      </c>
      <c r="L220" s="56">
        <v>633</v>
      </c>
      <c r="M220" s="57">
        <v>0</v>
      </c>
      <c r="N220" s="57">
        <v>0</v>
      </c>
      <c r="O220" s="57">
        <v>0</v>
      </c>
      <c r="P220" s="57">
        <v>0</v>
      </c>
      <c r="Q220" s="57">
        <v>0</v>
      </c>
      <c r="R220" s="57">
        <v>0.2711</v>
      </c>
      <c r="S220" s="57"/>
      <c r="T220" s="57"/>
      <c r="U220" s="57">
        <v>0.697</v>
      </c>
      <c r="V220" s="57"/>
      <c r="W220" s="57">
        <f t="shared" si="17"/>
        <v>0.697</v>
      </c>
      <c r="X220" s="57"/>
      <c r="Y220" s="57"/>
      <c r="Z220" s="57">
        <v>0.479</v>
      </c>
      <c r="AA220" s="57"/>
      <c r="AB220" s="57">
        <f t="shared" si="14"/>
        <v>0.479</v>
      </c>
      <c r="AC220" s="57">
        <v>0.4486</v>
      </c>
      <c r="AD220" s="57"/>
      <c r="AE220" s="57"/>
      <c r="AF220" s="73"/>
      <c r="AG220" s="58">
        <f t="shared" si="15"/>
        <v>0</v>
      </c>
      <c r="AH220" s="73"/>
    </row>
    <row r="221" ht="14.25" spans="1:34">
      <c r="A221" s="52">
        <v>219</v>
      </c>
      <c r="B221" s="61" t="s">
        <v>1013</v>
      </c>
      <c r="C221" s="62" t="s">
        <v>277</v>
      </c>
      <c r="D221" s="64" t="s">
        <v>655</v>
      </c>
      <c r="E221" s="57">
        <v>36</v>
      </c>
      <c r="F221" s="52">
        <v>1.521</v>
      </c>
      <c r="G221" s="57">
        <v>1.295</v>
      </c>
      <c r="H221" s="58">
        <f t="shared" si="16"/>
        <v>1.47537</v>
      </c>
      <c r="I221" s="52">
        <v>34</v>
      </c>
      <c r="J221" s="52">
        <v>1.373</v>
      </c>
      <c r="K221" s="56">
        <v>1555</v>
      </c>
      <c r="L221" s="56">
        <v>676</v>
      </c>
      <c r="M221" s="57">
        <v>0</v>
      </c>
      <c r="N221" s="57">
        <v>0</v>
      </c>
      <c r="O221" s="57">
        <v>0</v>
      </c>
      <c r="P221" s="57">
        <v>0</v>
      </c>
      <c r="Q221" s="57">
        <v>0</v>
      </c>
      <c r="R221" s="57">
        <v>0.2711</v>
      </c>
      <c r="S221" s="57"/>
      <c r="T221" s="57"/>
      <c r="U221" s="57">
        <v>0.697</v>
      </c>
      <c r="V221" s="57"/>
      <c r="W221" s="57">
        <f t="shared" si="17"/>
        <v>0.697</v>
      </c>
      <c r="X221" s="57"/>
      <c r="Y221" s="57"/>
      <c r="Z221" s="57">
        <v>0.479</v>
      </c>
      <c r="AA221" s="57"/>
      <c r="AB221" s="57">
        <f t="shared" si="14"/>
        <v>0.479</v>
      </c>
      <c r="AC221" s="57">
        <v>0.4486</v>
      </c>
      <c r="AD221" s="57"/>
      <c r="AE221" s="57"/>
      <c r="AF221" s="73"/>
      <c r="AG221" s="58">
        <f t="shared" si="15"/>
        <v>0</v>
      </c>
      <c r="AH221" s="73"/>
    </row>
    <row r="222" ht="14.25" spans="1:34">
      <c r="A222" s="52">
        <v>220</v>
      </c>
      <c r="B222" s="61" t="s">
        <v>1013</v>
      </c>
      <c r="C222" s="62" t="s">
        <v>277</v>
      </c>
      <c r="D222" s="64" t="s">
        <v>1047</v>
      </c>
      <c r="E222" s="57">
        <v>37</v>
      </c>
      <c r="F222" s="52">
        <v>1.497</v>
      </c>
      <c r="G222" s="57">
        <v>1.253</v>
      </c>
      <c r="H222" s="58">
        <f t="shared" si="16"/>
        <v>1.45209</v>
      </c>
      <c r="I222" s="52">
        <v>37</v>
      </c>
      <c r="J222" s="52">
        <v>1.554</v>
      </c>
      <c r="K222" s="56">
        <v>1555</v>
      </c>
      <c r="L222" s="56">
        <v>676</v>
      </c>
      <c r="M222" s="57">
        <v>0</v>
      </c>
      <c r="N222" s="57">
        <v>0</v>
      </c>
      <c r="O222" s="57">
        <v>0</v>
      </c>
      <c r="P222" s="57">
        <v>0</v>
      </c>
      <c r="Q222" s="57">
        <v>0</v>
      </c>
      <c r="R222" s="57">
        <v>0.2711</v>
      </c>
      <c r="S222" s="57"/>
      <c r="T222" s="57"/>
      <c r="U222" s="57">
        <v>0.697</v>
      </c>
      <c r="V222" s="57"/>
      <c r="W222" s="57">
        <f t="shared" si="17"/>
        <v>0.697</v>
      </c>
      <c r="X222" s="57"/>
      <c r="Y222" s="57"/>
      <c r="Z222" s="57">
        <v>0.479</v>
      </c>
      <c r="AA222" s="57"/>
      <c r="AB222" s="57">
        <f t="shared" si="14"/>
        <v>0.479</v>
      </c>
      <c r="AC222" s="57">
        <v>0.4486</v>
      </c>
      <c r="AD222" s="57"/>
      <c r="AE222" s="57"/>
      <c r="AF222" s="73"/>
      <c r="AG222" s="58">
        <f t="shared" si="15"/>
        <v>0</v>
      </c>
      <c r="AH222" s="73"/>
    </row>
    <row r="223" ht="14.25" spans="1:34">
      <c r="A223" s="52">
        <v>221</v>
      </c>
      <c r="B223" s="61" t="s">
        <v>1013</v>
      </c>
      <c r="C223" s="62" t="s">
        <v>277</v>
      </c>
      <c r="D223" s="64" t="s">
        <v>1048</v>
      </c>
      <c r="E223" s="57">
        <v>38</v>
      </c>
      <c r="F223" s="52">
        <v>1.662</v>
      </c>
      <c r="G223" s="57">
        <v>1.375</v>
      </c>
      <c r="H223" s="58">
        <f t="shared" si="16"/>
        <v>1.61214</v>
      </c>
      <c r="I223" s="52">
        <v>38</v>
      </c>
      <c r="J223" s="52">
        <v>1.528</v>
      </c>
      <c r="K223" s="56">
        <v>1663</v>
      </c>
      <c r="L223" s="56">
        <v>656</v>
      </c>
      <c r="M223" s="57">
        <v>0</v>
      </c>
      <c r="N223" s="57">
        <v>0</v>
      </c>
      <c r="O223" s="57">
        <v>0</v>
      </c>
      <c r="P223" s="57">
        <v>0</v>
      </c>
      <c r="Q223" s="57">
        <v>0</v>
      </c>
      <c r="R223" s="57">
        <v>0.2711</v>
      </c>
      <c r="S223" s="57"/>
      <c r="T223" s="57"/>
      <c r="U223" s="57">
        <v>0.697</v>
      </c>
      <c r="V223" s="57"/>
      <c r="W223" s="57">
        <f t="shared" si="17"/>
        <v>0.697</v>
      </c>
      <c r="X223" s="57"/>
      <c r="Y223" s="57"/>
      <c r="Z223" s="57">
        <v>0.479</v>
      </c>
      <c r="AA223" s="57"/>
      <c r="AB223" s="57">
        <f t="shared" si="14"/>
        <v>0.479</v>
      </c>
      <c r="AC223" s="57">
        <v>0.4486</v>
      </c>
      <c r="AD223" s="57"/>
      <c r="AE223" s="57"/>
      <c r="AF223" s="73"/>
      <c r="AG223" s="58">
        <f t="shared" si="15"/>
        <v>0</v>
      </c>
      <c r="AH223" s="73"/>
    </row>
    <row r="224" ht="14.25" spans="1:34">
      <c r="A224" s="52">
        <v>222</v>
      </c>
      <c r="B224" s="61" t="s">
        <v>1013</v>
      </c>
      <c r="C224" s="62" t="s">
        <v>1049</v>
      </c>
      <c r="D224" s="65" t="s">
        <v>651</v>
      </c>
      <c r="E224" s="57">
        <v>36</v>
      </c>
      <c r="F224" s="63">
        <v>1.541</v>
      </c>
      <c r="G224" s="57">
        <v>1.327</v>
      </c>
      <c r="H224" s="58">
        <f t="shared" si="16"/>
        <v>1.49477</v>
      </c>
      <c r="I224" s="52">
        <v>34</v>
      </c>
      <c r="J224" s="52">
        <v>1.355</v>
      </c>
      <c r="K224" s="56">
        <v>1578</v>
      </c>
      <c r="L224" s="56">
        <v>690</v>
      </c>
      <c r="M224" s="57">
        <v>0</v>
      </c>
      <c r="N224" s="57">
        <v>0</v>
      </c>
      <c r="O224" s="57">
        <v>0</v>
      </c>
      <c r="P224" s="57">
        <v>0</v>
      </c>
      <c r="Q224" s="57">
        <v>0</v>
      </c>
      <c r="R224" s="57">
        <v>0.337</v>
      </c>
      <c r="S224" s="57"/>
      <c r="T224" s="57"/>
      <c r="U224" s="57">
        <v>0.5941</v>
      </c>
      <c r="V224" s="57"/>
      <c r="W224" s="57">
        <f t="shared" si="17"/>
        <v>0.5941</v>
      </c>
      <c r="X224" s="57"/>
      <c r="Y224" s="57"/>
      <c r="Z224" s="57">
        <v>0.3822</v>
      </c>
      <c r="AA224" s="57"/>
      <c r="AB224" s="57">
        <f t="shared" si="14"/>
        <v>0.3822</v>
      </c>
      <c r="AC224" s="57">
        <v>0.3771</v>
      </c>
      <c r="AD224" s="57">
        <v>0.4271</v>
      </c>
      <c r="AE224" s="57">
        <v>0.6771</v>
      </c>
      <c r="AF224" s="58">
        <v>0.7</v>
      </c>
      <c r="AG224" s="58">
        <f t="shared" si="15"/>
        <v>1.17825281939067</v>
      </c>
      <c r="AH224" s="58">
        <v>0.6</v>
      </c>
    </row>
    <row r="225" ht="14.25" spans="1:34">
      <c r="A225" s="52">
        <v>223</v>
      </c>
      <c r="B225" s="61" t="s">
        <v>1013</v>
      </c>
      <c r="C225" s="62" t="s">
        <v>1049</v>
      </c>
      <c r="D225" s="64" t="s">
        <v>1050</v>
      </c>
      <c r="E225" s="57">
        <v>37</v>
      </c>
      <c r="F225" s="52">
        <v>1.806</v>
      </c>
      <c r="G225" s="57">
        <v>1.521</v>
      </c>
      <c r="H225" s="58">
        <f t="shared" si="16"/>
        <v>1.75182</v>
      </c>
      <c r="I225" s="52">
        <v>36</v>
      </c>
      <c r="J225" s="52">
        <v>1.497</v>
      </c>
      <c r="K225" s="56">
        <v>1773</v>
      </c>
      <c r="L225" s="56">
        <v>732</v>
      </c>
      <c r="M225" s="57">
        <v>0</v>
      </c>
      <c r="N225" s="57">
        <v>0</v>
      </c>
      <c r="O225" s="57">
        <v>0</v>
      </c>
      <c r="P225" s="57">
        <v>0</v>
      </c>
      <c r="Q225" s="57">
        <v>0</v>
      </c>
      <c r="R225" s="57">
        <v>0.337</v>
      </c>
      <c r="S225" s="57"/>
      <c r="T225" s="57"/>
      <c r="U225" s="57">
        <v>0.5941</v>
      </c>
      <c r="V225" s="57"/>
      <c r="W225" s="57">
        <f t="shared" si="17"/>
        <v>0.5941</v>
      </c>
      <c r="X225" s="57"/>
      <c r="Y225" s="57"/>
      <c r="Z225" s="57">
        <v>0.3822</v>
      </c>
      <c r="AA225" s="57"/>
      <c r="AB225" s="57">
        <f t="shared" si="14"/>
        <v>0.3822</v>
      </c>
      <c r="AC225" s="57">
        <v>0.3771</v>
      </c>
      <c r="AD225" s="57">
        <v>0.4271</v>
      </c>
      <c r="AE225" s="57">
        <v>0.6771</v>
      </c>
      <c r="AF225" s="73"/>
      <c r="AG225" s="58">
        <f t="shared" si="15"/>
        <v>0</v>
      </c>
      <c r="AH225" s="73"/>
    </row>
    <row r="226" ht="14.25" spans="1:34">
      <c r="A226" s="52">
        <v>224</v>
      </c>
      <c r="B226" s="61" t="s">
        <v>1013</v>
      </c>
      <c r="C226" s="62" t="s">
        <v>1049</v>
      </c>
      <c r="D226" s="64" t="s">
        <v>1051</v>
      </c>
      <c r="E226" s="57">
        <v>39</v>
      </c>
      <c r="F226" s="52">
        <v>1.766</v>
      </c>
      <c r="G226" s="57">
        <v>1.46</v>
      </c>
      <c r="H226" s="58">
        <f t="shared" si="16"/>
        <v>1.71302</v>
      </c>
      <c r="I226" s="52">
        <v>34</v>
      </c>
      <c r="J226" s="52">
        <v>1.355</v>
      </c>
      <c r="K226" s="56">
        <v>1695</v>
      </c>
      <c r="L226" s="56">
        <v>680</v>
      </c>
      <c r="M226" s="57">
        <v>0</v>
      </c>
      <c r="N226" s="57">
        <v>0</v>
      </c>
      <c r="O226" s="57">
        <v>0</v>
      </c>
      <c r="P226" s="57">
        <v>0</v>
      </c>
      <c r="Q226" s="57">
        <v>0</v>
      </c>
      <c r="R226" s="57">
        <v>0.337</v>
      </c>
      <c r="S226" s="57"/>
      <c r="T226" s="57"/>
      <c r="U226" s="57">
        <v>0.5941</v>
      </c>
      <c r="V226" s="57"/>
      <c r="W226" s="57">
        <f t="shared" si="17"/>
        <v>0.5941</v>
      </c>
      <c r="X226" s="57"/>
      <c r="Y226" s="57"/>
      <c r="Z226" s="57">
        <v>0.3822</v>
      </c>
      <c r="AA226" s="57"/>
      <c r="AB226" s="57">
        <f t="shared" si="14"/>
        <v>0.3822</v>
      </c>
      <c r="AC226" s="57">
        <v>0.3771</v>
      </c>
      <c r="AD226" s="57">
        <v>0.4271</v>
      </c>
      <c r="AE226" s="57">
        <v>0.6771</v>
      </c>
      <c r="AF226" s="73"/>
      <c r="AG226" s="58">
        <f t="shared" si="15"/>
        <v>0</v>
      </c>
      <c r="AH226" s="73"/>
    </row>
    <row r="227" ht="14.25" spans="1:34">
      <c r="A227" s="52">
        <v>225</v>
      </c>
      <c r="B227" s="61" t="s">
        <v>1013</v>
      </c>
      <c r="C227" s="62" t="s">
        <v>1049</v>
      </c>
      <c r="D227" s="64" t="s">
        <v>1052</v>
      </c>
      <c r="E227" s="57">
        <v>36</v>
      </c>
      <c r="F227" s="52">
        <v>1.543</v>
      </c>
      <c r="G227" s="57">
        <v>1.324</v>
      </c>
      <c r="H227" s="58">
        <f t="shared" si="16"/>
        <v>1.49671</v>
      </c>
      <c r="I227" s="52">
        <v>34</v>
      </c>
      <c r="J227" s="52">
        <v>1.355</v>
      </c>
      <c r="K227" s="56">
        <v>1578</v>
      </c>
      <c r="L227" s="56">
        <v>685</v>
      </c>
      <c r="M227" s="57">
        <v>0</v>
      </c>
      <c r="N227" s="57">
        <v>0</v>
      </c>
      <c r="O227" s="57">
        <v>0</v>
      </c>
      <c r="P227" s="57">
        <v>0</v>
      </c>
      <c r="Q227" s="57">
        <v>0</v>
      </c>
      <c r="R227" s="57">
        <v>0.337</v>
      </c>
      <c r="S227" s="57"/>
      <c r="T227" s="57"/>
      <c r="U227" s="57">
        <v>0.5941</v>
      </c>
      <c r="V227" s="57"/>
      <c r="W227" s="57">
        <f t="shared" si="17"/>
        <v>0.5941</v>
      </c>
      <c r="X227" s="57"/>
      <c r="Y227" s="57"/>
      <c r="Z227" s="57">
        <v>0.3822</v>
      </c>
      <c r="AA227" s="57"/>
      <c r="AB227" s="57">
        <f t="shared" si="14"/>
        <v>0.3822</v>
      </c>
      <c r="AC227" s="57">
        <v>0.3771</v>
      </c>
      <c r="AD227" s="57">
        <v>0.4271</v>
      </c>
      <c r="AE227" s="57">
        <v>0.6771</v>
      </c>
      <c r="AF227" s="73"/>
      <c r="AG227" s="58">
        <f t="shared" si="15"/>
        <v>0</v>
      </c>
      <c r="AH227" s="73"/>
    </row>
    <row r="228" ht="14.25" spans="1:34">
      <c r="A228" s="52">
        <v>226</v>
      </c>
      <c r="B228" s="61" t="s">
        <v>1013</v>
      </c>
      <c r="C228" s="62" t="s">
        <v>1049</v>
      </c>
      <c r="D228" s="64" t="s">
        <v>1053</v>
      </c>
      <c r="E228" s="57">
        <v>37</v>
      </c>
      <c r="F228" s="52">
        <v>1.696</v>
      </c>
      <c r="G228" s="57">
        <v>1.43</v>
      </c>
      <c r="H228" s="58">
        <f t="shared" si="16"/>
        <v>1.64512</v>
      </c>
      <c r="I228" s="52">
        <v>38</v>
      </c>
      <c r="J228" s="52">
        <v>1.695</v>
      </c>
      <c r="K228" s="56">
        <v>1678</v>
      </c>
      <c r="L228" s="56">
        <v>691</v>
      </c>
      <c r="M228" s="57">
        <v>0</v>
      </c>
      <c r="N228" s="57">
        <v>0</v>
      </c>
      <c r="O228" s="57">
        <v>0</v>
      </c>
      <c r="P228" s="57">
        <v>0</v>
      </c>
      <c r="Q228" s="57">
        <v>0</v>
      </c>
      <c r="R228" s="57">
        <v>0.337</v>
      </c>
      <c r="S228" s="57"/>
      <c r="T228" s="57"/>
      <c r="U228" s="57">
        <v>0.5941</v>
      </c>
      <c r="V228" s="57"/>
      <c r="W228" s="57">
        <f t="shared" si="17"/>
        <v>0.5941</v>
      </c>
      <c r="X228" s="57"/>
      <c r="Y228" s="57"/>
      <c r="Z228" s="57">
        <v>0.3822</v>
      </c>
      <c r="AA228" s="57"/>
      <c r="AB228" s="57">
        <f t="shared" si="14"/>
        <v>0.3822</v>
      </c>
      <c r="AC228" s="57">
        <v>0.3771</v>
      </c>
      <c r="AD228" s="57">
        <v>0.4271</v>
      </c>
      <c r="AE228" s="57">
        <v>0.6771</v>
      </c>
      <c r="AF228" s="73"/>
      <c r="AG228" s="58">
        <f t="shared" si="15"/>
        <v>0</v>
      </c>
      <c r="AH228" s="73"/>
    </row>
    <row r="229" ht="14.25" spans="1:34">
      <c r="A229" s="52">
        <v>227</v>
      </c>
      <c r="B229" s="61" t="s">
        <v>1013</v>
      </c>
      <c r="C229" s="62" t="s">
        <v>1049</v>
      </c>
      <c r="D229" s="64" t="s">
        <v>1054</v>
      </c>
      <c r="E229" s="57">
        <v>37</v>
      </c>
      <c r="F229" s="52">
        <v>1.943</v>
      </c>
      <c r="G229" s="57">
        <v>1.62</v>
      </c>
      <c r="H229" s="58">
        <f t="shared" si="16"/>
        <v>1.88471</v>
      </c>
      <c r="I229" s="52">
        <v>38</v>
      </c>
      <c r="J229" s="52">
        <v>1.695</v>
      </c>
      <c r="K229" s="56">
        <v>1936</v>
      </c>
      <c r="L229" s="56">
        <v>618</v>
      </c>
      <c r="M229" s="57">
        <v>0</v>
      </c>
      <c r="N229" s="57">
        <v>0</v>
      </c>
      <c r="O229" s="57">
        <v>0</v>
      </c>
      <c r="P229" s="57">
        <v>0</v>
      </c>
      <c r="Q229" s="57">
        <v>0</v>
      </c>
      <c r="R229" s="57">
        <v>0.337</v>
      </c>
      <c r="S229" s="57"/>
      <c r="T229" s="57"/>
      <c r="U229" s="57">
        <v>0.5941</v>
      </c>
      <c r="V229" s="57"/>
      <c r="W229" s="57">
        <f t="shared" si="17"/>
        <v>0.5941</v>
      </c>
      <c r="X229" s="57"/>
      <c r="Y229" s="57"/>
      <c r="Z229" s="57">
        <v>0.3822</v>
      </c>
      <c r="AA229" s="57"/>
      <c r="AB229" s="57">
        <f t="shared" si="14"/>
        <v>0.3822</v>
      </c>
      <c r="AC229" s="57">
        <v>0.3771</v>
      </c>
      <c r="AD229" s="57">
        <v>0.4271</v>
      </c>
      <c r="AE229" s="57">
        <v>0.6771</v>
      </c>
      <c r="AF229" s="73"/>
      <c r="AG229" s="58">
        <f t="shared" si="15"/>
        <v>0</v>
      </c>
      <c r="AH229" s="73"/>
    </row>
    <row r="230" ht="14.25" spans="1:34">
      <c r="A230" s="52">
        <v>228</v>
      </c>
      <c r="B230" s="61" t="s">
        <v>1013</v>
      </c>
      <c r="C230" s="62" t="s">
        <v>1049</v>
      </c>
      <c r="D230" s="64" t="s">
        <v>1055</v>
      </c>
      <c r="E230" s="57">
        <v>42</v>
      </c>
      <c r="F230" s="52">
        <v>1.778</v>
      </c>
      <c r="G230" s="57">
        <v>1.417</v>
      </c>
      <c r="H230" s="58">
        <f t="shared" si="16"/>
        <v>1.72466</v>
      </c>
      <c r="I230" s="52">
        <v>41</v>
      </c>
      <c r="J230" s="52">
        <v>1.629</v>
      </c>
      <c r="K230" s="56">
        <v>1677</v>
      </c>
      <c r="L230" s="56">
        <v>658</v>
      </c>
      <c r="M230" s="57">
        <v>0</v>
      </c>
      <c r="N230" s="57">
        <v>0</v>
      </c>
      <c r="O230" s="57">
        <v>0</v>
      </c>
      <c r="P230" s="57">
        <v>0</v>
      </c>
      <c r="Q230" s="57">
        <v>0</v>
      </c>
      <c r="R230" s="57">
        <v>0.337</v>
      </c>
      <c r="S230" s="57"/>
      <c r="T230" s="57"/>
      <c r="U230" s="57">
        <v>0.5941</v>
      </c>
      <c r="V230" s="57"/>
      <c r="W230" s="57">
        <f t="shared" si="17"/>
        <v>0.5941</v>
      </c>
      <c r="X230" s="57"/>
      <c r="Y230" s="57"/>
      <c r="Z230" s="57">
        <v>0.3822</v>
      </c>
      <c r="AA230" s="57"/>
      <c r="AB230" s="57">
        <f t="shared" si="14"/>
        <v>0.3822</v>
      </c>
      <c r="AC230" s="57">
        <v>0.3771</v>
      </c>
      <c r="AD230" s="57">
        <v>0.4271</v>
      </c>
      <c r="AE230" s="57">
        <v>0.6771</v>
      </c>
      <c r="AF230" s="73"/>
      <c r="AG230" s="58">
        <f t="shared" si="15"/>
        <v>0</v>
      </c>
      <c r="AH230" s="73"/>
    </row>
    <row r="231" ht="14.25" spans="1:34">
      <c r="A231" s="52">
        <v>229</v>
      </c>
      <c r="B231" s="61" t="s">
        <v>1013</v>
      </c>
      <c r="C231" s="62" t="s">
        <v>1049</v>
      </c>
      <c r="D231" s="64" t="s">
        <v>1056</v>
      </c>
      <c r="E231" s="57">
        <v>35</v>
      </c>
      <c r="F231" s="52">
        <v>1.519</v>
      </c>
      <c r="G231" s="57">
        <v>1.319</v>
      </c>
      <c r="H231" s="58">
        <f t="shared" si="16"/>
        <v>1.47343</v>
      </c>
      <c r="I231" s="52">
        <v>39</v>
      </c>
      <c r="J231" s="52">
        <v>1.675</v>
      </c>
      <c r="K231" s="56">
        <v>1572</v>
      </c>
      <c r="L231" s="56">
        <v>670</v>
      </c>
      <c r="M231" s="57">
        <v>0</v>
      </c>
      <c r="N231" s="57">
        <v>0</v>
      </c>
      <c r="O231" s="57">
        <v>0</v>
      </c>
      <c r="P231" s="57">
        <v>0</v>
      </c>
      <c r="Q231" s="57">
        <v>0</v>
      </c>
      <c r="R231" s="57">
        <v>0.337</v>
      </c>
      <c r="S231" s="57"/>
      <c r="T231" s="57"/>
      <c r="U231" s="57">
        <v>0.5941</v>
      </c>
      <c r="V231" s="57"/>
      <c r="W231" s="57">
        <f t="shared" si="17"/>
        <v>0.5941</v>
      </c>
      <c r="X231" s="57"/>
      <c r="Y231" s="57"/>
      <c r="Z231" s="57">
        <v>0.3822</v>
      </c>
      <c r="AA231" s="57"/>
      <c r="AB231" s="57">
        <f t="shared" si="14"/>
        <v>0.3822</v>
      </c>
      <c r="AC231" s="57">
        <v>0.3771</v>
      </c>
      <c r="AD231" s="57">
        <v>0.4271</v>
      </c>
      <c r="AE231" s="57">
        <v>0.6771</v>
      </c>
      <c r="AF231" s="73"/>
      <c r="AG231" s="58">
        <f t="shared" si="15"/>
        <v>0</v>
      </c>
      <c r="AH231" s="73"/>
    </row>
    <row r="232" ht="14.25" spans="1:34">
      <c r="A232" s="52">
        <v>230</v>
      </c>
      <c r="B232" s="61" t="s">
        <v>1013</v>
      </c>
      <c r="C232" s="62" t="s">
        <v>1049</v>
      </c>
      <c r="D232" s="64" t="s">
        <v>652</v>
      </c>
      <c r="E232" s="57">
        <v>35</v>
      </c>
      <c r="F232" s="52">
        <v>1.636</v>
      </c>
      <c r="G232" s="57">
        <v>1.443</v>
      </c>
      <c r="H232" s="58">
        <f t="shared" si="16"/>
        <v>1.58692</v>
      </c>
      <c r="I232" s="52">
        <v>34</v>
      </c>
      <c r="J232" s="52">
        <v>1.548</v>
      </c>
      <c r="K232" s="56">
        <v>1703</v>
      </c>
      <c r="L232" s="56">
        <v>725</v>
      </c>
      <c r="M232" s="57">
        <v>0</v>
      </c>
      <c r="N232" s="57">
        <v>0</v>
      </c>
      <c r="O232" s="57">
        <v>0</v>
      </c>
      <c r="P232" s="57">
        <v>0</v>
      </c>
      <c r="Q232" s="57">
        <v>0</v>
      </c>
      <c r="R232" s="57">
        <v>0.337</v>
      </c>
      <c r="S232" s="57"/>
      <c r="T232" s="57"/>
      <c r="U232" s="57">
        <v>0.5941</v>
      </c>
      <c r="V232" s="57"/>
      <c r="W232" s="57">
        <f t="shared" si="17"/>
        <v>0.5941</v>
      </c>
      <c r="X232" s="57"/>
      <c r="Y232" s="57"/>
      <c r="Z232" s="57">
        <v>0.3822</v>
      </c>
      <c r="AA232" s="57"/>
      <c r="AB232" s="57">
        <f t="shared" si="14"/>
        <v>0.3822</v>
      </c>
      <c r="AC232" s="57">
        <v>0.3771</v>
      </c>
      <c r="AD232" s="57">
        <v>0.4271</v>
      </c>
      <c r="AE232" s="57">
        <v>0.6771</v>
      </c>
      <c r="AF232" s="73"/>
      <c r="AG232" s="58">
        <f t="shared" si="15"/>
        <v>0</v>
      </c>
      <c r="AH232" s="73"/>
    </row>
    <row r="233" ht="14.25" spans="1:34">
      <c r="A233" s="57">
        <v>231</v>
      </c>
      <c r="B233" s="61" t="s">
        <v>1057</v>
      </c>
      <c r="C233" s="62" t="s">
        <v>504</v>
      </c>
      <c r="D233" s="65" t="s">
        <v>616</v>
      </c>
      <c r="E233" s="57">
        <v>21</v>
      </c>
      <c r="F233" s="57">
        <v>0.997</v>
      </c>
      <c r="G233" s="57">
        <v>0.953</v>
      </c>
      <c r="H233" s="58">
        <f t="shared" si="16"/>
        <v>0.96709</v>
      </c>
      <c r="I233" s="57">
        <v>20</v>
      </c>
      <c r="J233" s="57">
        <v>0.91</v>
      </c>
      <c r="K233" s="56">
        <v>1158</v>
      </c>
      <c r="L233" s="56">
        <v>979</v>
      </c>
      <c r="M233" s="57">
        <v>0</v>
      </c>
      <c r="N233" s="57">
        <v>0</v>
      </c>
      <c r="O233" s="57">
        <v>0</v>
      </c>
      <c r="P233" s="67">
        <v>0.1</v>
      </c>
      <c r="Q233" s="67">
        <v>10</v>
      </c>
      <c r="R233" s="57">
        <v>0.4735</v>
      </c>
      <c r="S233" s="57"/>
      <c r="T233" s="57">
        <v>1.4491</v>
      </c>
      <c r="U233" s="57">
        <v>0.8959</v>
      </c>
      <c r="V233" s="57">
        <v>0.4704</v>
      </c>
      <c r="W233" s="57">
        <f t="shared" si="17"/>
        <v>1.11718</v>
      </c>
      <c r="X233" s="57"/>
      <c r="Y233" s="57">
        <v>1.1214</v>
      </c>
      <c r="Z233" s="57">
        <v>0.6973</v>
      </c>
      <c r="AA233" s="57">
        <v>0.3711</v>
      </c>
      <c r="AB233" s="57">
        <f t="shared" si="14"/>
        <v>0.86694</v>
      </c>
      <c r="AC233" s="57"/>
      <c r="AD233" s="57"/>
      <c r="AE233" s="57"/>
      <c r="AF233" s="58">
        <v>0.93</v>
      </c>
      <c r="AG233" s="58">
        <f t="shared" si="15"/>
        <v>0.832453140944163</v>
      </c>
      <c r="AH233" s="58">
        <v>0.85</v>
      </c>
    </row>
    <row r="234" ht="14.25" spans="1:34">
      <c r="A234" s="52">
        <v>232</v>
      </c>
      <c r="B234" s="61" t="s">
        <v>1057</v>
      </c>
      <c r="C234" s="62" t="s">
        <v>504</v>
      </c>
      <c r="D234" s="64" t="s">
        <v>1058</v>
      </c>
      <c r="E234" s="57">
        <v>20</v>
      </c>
      <c r="F234" s="52">
        <v>0.961</v>
      </c>
      <c r="G234" s="57">
        <v>0.921</v>
      </c>
      <c r="H234" s="58">
        <f t="shared" si="16"/>
        <v>0.93217</v>
      </c>
      <c r="I234" s="52">
        <v>19</v>
      </c>
      <c r="J234" s="52">
        <v>0.989</v>
      </c>
      <c r="K234" s="56">
        <v>1166</v>
      </c>
      <c r="L234" s="56">
        <v>800</v>
      </c>
      <c r="M234" s="57">
        <v>0</v>
      </c>
      <c r="N234" s="57">
        <v>0</v>
      </c>
      <c r="O234" s="57">
        <v>0</v>
      </c>
      <c r="P234" s="57">
        <v>0</v>
      </c>
      <c r="Q234" s="57">
        <v>0</v>
      </c>
      <c r="R234" s="57">
        <v>0.4735</v>
      </c>
      <c r="S234" s="57"/>
      <c r="T234" s="57">
        <v>1.2306</v>
      </c>
      <c r="U234" s="57">
        <v>0.7756</v>
      </c>
      <c r="V234" s="57">
        <v>0.4102</v>
      </c>
      <c r="W234" s="57">
        <f t="shared" si="17"/>
        <v>0.9576</v>
      </c>
      <c r="X234" s="57"/>
      <c r="Y234" s="57">
        <v>0.8926</v>
      </c>
      <c r="Z234" s="57">
        <v>0.5586</v>
      </c>
      <c r="AA234" s="57">
        <v>0.3017</v>
      </c>
      <c r="AB234" s="57">
        <f t="shared" si="14"/>
        <v>0.6922</v>
      </c>
      <c r="AC234" s="57"/>
      <c r="AD234" s="57"/>
      <c r="AE234" s="57"/>
      <c r="AF234" s="73"/>
      <c r="AG234" s="58">
        <f t="shared" si="15"/>
        <v>0</v>
      </c>
      <c r="AH234" s="73"/>
    </row>
    <row r="235" ht="14.25" spans="1:34">
      <c r="A235" s="52">
        <v>233</v>
      </c>
      <c r="B235" s="61" t="s">
        <v>1057</v>
      </c>
      <c r="C235" s="62" t="s">
        <v>504</v>
      </c>
      <c r="D235" s="64" t="s">
        <v>1059</v>
      </c>
      <c r="E235" s="57">
        <v>20</v>
      </c>
      <c r="F235" s="52">
        <v>1.093</v>
      </c>
      <c r="G235" s="57">
        <v>1.045</v>
      </c>
      <c r="H235" s="58">
        <f t="shared" si="16"/>
        <v>1.06021</v>
      </c>
      <c r="I235" s="52">
        <v>18</v>
      </c>
      <c r="J235" s="52">
        <v>1.06</v>
      </c>
      <c r="K235" s="56">
        <v>1315</v>
      </c>
      <c r="L235" s="56">
        <v>827</v>
      </c>
      <c r="M235" s="57">
        <v>0</v>
      </c>
      <c r="N235" s="57">
        <v>0</v>
      </c>
      <c r="O235" s="57">
        <v>0</v>
      </c>
      <c r="P235" s="57">
        <v>0</v>
      </c>
      <c r="Q235" s="57">
        <v>0</v>
      </c>
      <c r="R235" s="57">
        <v>0.4735</v>
      </c>
      <c r="S235" s="57"/>
      <c r="T235" s="57">
        <v>1.2306</v>
      </c>
      <c r="U235" s="57">
        <v>0.7756</v>
      </c>
      <c r="V235" s="57">
        <v>0.4102</v>
      </c>
      <c r="W235" s="57">
        <f t="shared" si="17"/>
        <v>0.9576</v>
      </c>
      <c r="X235" s="57"/>
      <c r="Y235" s="57">
        <v>0.8926</v>
      </c>
      <c r="Z235" s="57">
        <v>0.5586</v>
      </c>
      <c r="AA235" s="57">
        <v>0.3017</v>
      </c>
      <c r="AB235" s="57">
        <f t="shared" si="14"/>
        <v>0.6922</v>
      </c>
      <c r="AC235" s="57"/>
      <c r="AD235" s="57"/>
      <c r="AE235" s="57"/>
      <c r="AF235" s="73"/>
      <c r="AG235" s="58">
        <f t="shared" si="15"/>
        <v>0</v>
      </c>
      <c r="AH235" s="73"/>
    </row>
    <row r="236" ht="14.25" spans="1:34">
      <c r="A236" s="52">
        <v>234</v>
      </c>
      <c r="B236" s="61" t="s">
        <v>1057</v>
      </c>
      <c r="C236" s="62" t="s">
        <v>504</v>
      </c>
      <c r="D236" s="64" t="s">
        <v>1060</v>
      </c>
      <c r="E236" s="57">
        <v>24</v>
      </c>
      <c r="F236" s="52">
        <v>1.106</v>
      </c>
      <c r="G236" s="57">
        <v>1.047</v>
      </c>
      <c r="H236" s="58">
        <f t="shared" si="16"/>
        <v>1.07282</v>
      </c>
      <c r="I236" s="52">
        <v>18</v>
      </c>
      <c r="J236" s="52">
        <v>1.056</v>
      </c>
      <c r="K236" s="79">
        <v>1321</v>
      </c>
      <c r="L236" s="79">
        <v>829</v>
      </c>
      <c r="M236" s="57">
        <v>0</v>
      </c>
      <c r="N236" s="57">
        <v>0</v>
      </c>
      <c r="O236" s="57">
        <v>0</v>
      </c>
      <c r="P236" s="57">
        <v>0</v>
      </c>
      <c r="Q236" s="57">
        <v>0</v>
      </c>
      <c r="R236" s="57">
        <v>0.4735</v>
      </c>
      <c r="S236" s="57"/>
      <c r="T236" s="57">
        <v>1.2306</v>
      </c>
      <c r="U236" s="57">
        <v>0.7756</v>
      </c>
      <c r="V236" s="57">
        <v>0.4102</v>
      </c>
      <c r="W236" s="57">
        <f t="shared" si="17"/>
        <v>0.9576</v>
      </c>
      <c r="X236" s="57"/>
      <c r="Y236" s="57">
        <v>0.8926</v>
      </c>
      <c r="Z236" s="57">
        <v>0.5586</v>
      </c>
      <c r="AA236" s="57">
        <v>0.3017</v>
      </c>
      <c r="AB236" s="57">
        <f t="shared" si="14"/>
        <v>0.6922</v>
      </c>
      <c r="AC236" s="57"/>
      <c r="AD236" s="57"/>
      <c r="AE236" s="57"/>
      <c r="AF236" s="73"/>
      <c r="AG236" s="58">
        <f t="shared" si="15"/>
        <v>0</v>
      </c>
      <c r="AH236" s="73"/>
    </row>
    <row r="237" ht="14.25" spans="1:34">
      <c r="A237" s="52">
        <v>235</v>
      </c>
      <c r="B237" s="61" t="s">
        <v>1057</v>
      </c>
      <c r="C237" s="62" t="s">
        <v>504</v>
      </c>
      <c r="D237" s="64" t="s">
        <v>1061</v>
      </c>
      <c r="E237" s="57">
        <v>23</v>
      </c>
      <c r="F237" s="52">
        <v>1.165</v>
      </c>
      <c r="G237" s="57">
        <v>1.11</v>
      </c>
      <c r="H237" s="58">
        <f t="shared" si="16"/>
        <v>1.13005</v>
      </c>
      <c r="I237" s="52">
        <v>20</v>
      </c>
      <c r="J237" s="52">
        <v>1.132</v>
      </c>
      <c r="K237" s="79">
        <v>1395</v>
      </c>
      <c r="L237" s="79">
        <v>833</v>
      </c>
      <c r="M237" s="57">
        <v>0</v>
      </c>
      <c r="N237" s="57">
        <v>0</v>
      </c>
      <c r="O237" s="57">
        <v>0</v>
      </c>
      <c r="P237" s="57">
        <v>0</v>
      </c>
      <c r="Q237" s="57">
        <v>0</v>
      </c>
      <c r="R237" s="57">
        <v>0.4735</v>
      </c>
      <c r="S237" s="57"/>
      <c r="T237" s="57">
        <v>1.2306</v>
      </c>
      <c r="U237" s="57">
        <v>0.7756</v>
      </c>
      <c r="V237" s="57">
        <v>0.4102</v>
      </c>
      <c r="W237" s="57">
        <f t="shared" si="17"/>
        <v>0.9576</v>
      </c>
      <c r="X237" s="57"/>
      <c r="Y237" s="57">
        <v>0.8926</v>
      </c>
      <c r="Z237" s="57">
        <v>0.5586</v>
      </c>
      <c r="AA237" s="57">
        <v>0.3017</v>
      </c>
      <c r="AB237" s="57">
        <f t="shared" si="14"/>
        <v>0.6922</v>
      </c>
      <c r="AC237" s="57"/>
      <c r="AD237" s="57"/>
      <c r="AE237" s="57"/>
      <c r="AF237" s="73"/>
      <c r="AG237" s="58">
        <f t="shared" si="15"/>
        <v>0</v>
      </c>
      <c r="AH237" s="73"/>
    </row>
    <row r="238" ht="14.25" spans="1:34">
      <c r="A238" s="52">
        <v>236</v>
      </c>
      <c r="B238" s="61" t="s">
        <v>1057</v>
      </c>
      <c r="C238" s="62" t="s">
        <v>504</v>
      </c>
      <c r="D238" s="64" t="s">
        <v>1062</v>
      </c>
      <c r="E238" s="57">
        <v>22</v>
      </c>
      <c r="F238" s="52">
        <v>1.193</v>
      </c>
      <c r="G238" s="57">
        <v>1.14</v>
      </c>
      <c r="H238" s="58">
        <f t="shared" si="16"/>
        <v>1.15721</v>
      </c>
      <c r="I238" s="52">
        <v>19</v>
      </c>
      <c r="J238" s="52">
        <v>1.156</v>
      </c>
      <c r="K238" s="79">
        <v>1429</v>
      </c>
      <c r="L238" s="79">
        <v>854</v>
      </c>
      <c r="M238" s="57">
        <v>0</v>
      </c>
      <c r="N238" s="57">
        <v>0</v>
      </c>
      <c r="O238" s="57">
        <v>0</v>
      </c>
      <c r="P238" s="57">
        <v>0</v>
      </c>
      <c r="Q238" s="57">
        <v>0</v>
      </c>
      <c r="R238" s="57">
        <v>0.4735</v>
      </c>
      <c r="S238" s="57"/>
      <c r="T238" s="57">
        <v>1.3133</v>
      </c>
      <c r="U238" s="57">
        <v>0.8136</v>
      </c>
      <c r="V238" s="57">
        <v>0.4292</v>
      </c>
      <c r="W238" s="57">
        <f t="shared" si="17"/>
        <v>1.01348</v>
      </c>
      <c r="X238" s="57"/>
      <c r="Y238" s="57">
        <v>0.9767</v>
      </c>
      <c r="Z238" s="57">
        <v>0.6096</v>
      </c>
      <c r="AA238" s="57">
        <v>0.3272</v>
      </c>
      <c r="AB238" s="57">
        <f t="shared" si="14"/>
        <v>0.75644</v>
      </c>
      <c r="AC238" s="57"/>
      <c r="AD238" s="57"/>
      <c r="AE238" s="57"/>
      <c r="AF238" s="73"/>
      <c r="AG238" s="58">
        <f t="shared" si="15"/>
        <v>0</v>
      </c>
      <c r="AH238" s="73"/>
    </row>
    <row r="239" ht="14.25" spans="1:34">
      <c r="A239" s="52">
        <v>237</v>
      </c>
      <c r="B239" s="61" t="s">
        <v>1057</v>
      </c>
      <c r="C239" s="62" t="s">
        <v>504</v>
      </c>
      <c r="D239" s="64" t="s">
        <v>617</v>
      </c>
      <c r="E239" s="57">
        <v>20</v>
      </c>
      <c r="F239" s="52">
        <v>1.188</v>
      </c>
      <c r="G239" s="57">
        <v>1.137</v>
      </c>
      <c r="H239" s="58">
        <f t="shared" si="16"/>
        <v>1.15236</v>
      </c>
      <c r="I239" s="52">
        <v>19</v>
      </c>
      <c r="J239" s="52">
        <v>1.16</v>
      </c>
      <c r="K239" s="79">
        <v>1434</v>
      </c>
      <c r="L239" s="79">
        <v>871</v>
      </c>
      <c r="M239" s="57">
        <v>0</v>
      </c>
      <c r="N239" s="57">
        <v>0</v>
      </c>
      <c r="O239" s="57">
        <v>0</v>
      </c>
      <c r="P239" s="57">
        <v>0</v>
      </c>
      <c r="Q239" s="57">
        <v>0</v>
      </c>
      <c r="R239" s="57">
        <v>0.4735</v>
      </c>
      <c r="S239" s="57"/>
      <c r="T239" s="57">
        <v>1.3133</v>
      </c>
      <c r="U239" s="57">
        <v>0.8136</v>
      </c>
      <c r="V239" s="57">
        <v>0.4292</v>
      </c>
      <c r="W239" s="57">
        <f t="shared" si="17"/>
        <v>1.01348</v>
      </c>
      <c r="X239" s="57"/>
      <c r="Y239" s="57">
        <v>0.9767</v>
      </c>
      <c r="Z239" s="57">
        <v>0.6096</v>
      </c>
      <c r="AA239" s="57">
        <v>0.3272</v>
      </c>
      <c r="AB239" s="57">
        <f t="shared" si="14"/>
        <v>0.75644</v>
      </c>
      <c r="AC239" s="57"/>
      <c r="AD239" s="57"/>
      <c r="AE239" s="57"/>
      <c r="AF239" s="73"/>
      <c r="AG239" s="58">
        <f t="shared" si="15"/>
        <v>0</v>
      </c>
      <c r="AH239" s="73"/>
    </row>
    <row r="240" ht="14.25" spans="1:34">
      <c r="A240" s="52">
        <v>238</v>
      </c>
      <c r="B240" s="61" t="s">
        <v>1057</v>
      </c>
      <c r="C240" s="62" t="s">
        <v>504</v>
      </c>
      <c r="D240" s="64" t="s">
        <v>1063</v>
      </c>
      <c r="E240" s="57">
        <v>20</v>
      </c>
      <c r="F240" s="52">
        <v>1.191</v>
      </c>
      <c r="G240" s="57">
        <v>1.138</v>
      </c>
      <c r="H240" s="58">
        <f t="shared" si="16"/>
        <v>1.15527</v>
      </c>
      <c r="I240" s="52">
        <v>18</v>
      </c>
      <c r="J240" s="52">
        <v>1.147</v>
      </c>
      <c r="K240" s="79">
        <v>1430</v>
      </c>
      <c r="L240" s="79">
        <v>868</v>
      </c>
      <c r="M240" s="57">
        <v>0</v>
      </c>
      <c r="N240" s="57">
        <v>0</v>
      </c>
      <c r="O240" s="57">
        <v>0</v>
      </c>
      <c r="P240" s="57">
        <v>0</v>
      </c>
      <c r="Q240" s="57">
        <v>0</v>
      </c>
      <c r="R240" s="57">
        <v>0.4735</v>
      </c>
      <c r="S240" s="57"/>
      <c r="T240" s="57">
        <v>1.3133</v>
      </c>
      <c r="U240" s="57">
        <v>0.8136</v>
      </c>
      <c r="V240" s="57">
        <v>0.4292</v>
      </c>
      <c r="W240" s="57">
        <f t="shared" si="17"/>
        <v>1.01348</v>
      </c>
      <c r="X240" s="57"/>
      <c r="Y240" s="57">
        <v>0.9767</v>
      </c>
      <c r="Z240" s="57">
        <v>0.6096</v>
      </c>
      <c r="AA240" s="57">
        <v>0.3272</v>
      </c>
      <c r="AB240" s="57">
        <f t="shared" si="14"/>
        <v>0.75644</v>
      </c>
      <c r="AC240" s="57"/>
      <c r="AD240" s="57"/>
      <c r="AE240" s="57"/>
      <c r="AF240" s="73"/>
      <c r="AG240" s="58">
        <f t="shared" si="15"/>
        <v>0</v>
      </c>
      <c r="AH240" s="73"/>
    </row>
    <row r="241" ht="14.25" spans="1:34">
      <c r="A241" s="52">
        <v>239</v>
      </c>
      <c r="B241" s="61" t="s">
        <v>1057</v>
      </c>
      <c r="C241" s="62" t="s">
        <v>504</v>
      </c>
      <c r="D241" s="64" t="s">
        <v>1064</v>
      </c>
      <c r="E241" s="57">
        <v>22</v>
      </c>
      <c r="F241" s="52">
        <v>1.142</v>
      </c>
      <c r="G241" s="57">
        <v>1.093</v>
      </c>
      <c r="H241" s="58">
        <f t="shared" si="16"/>
        <v>1.10774</v>
      </c>
      <c r="I241" s="52">
        <v>17</v>
      </c>
      <c r="J241" s="52">
        <v>1.1</v>
      </c>
      <c r="K241" s="79">
        <v>1378</v>
      </c>
      <c r="L241" s="79">
        <v>841</v>
      </c>
      <c r="M241" s="57">
        <v>0</v>
      </c>
      <c r="N241" s="57">
        <v>0</v>
      </c>
      <c r="O241" s="57">
        <v>0</v>
      </c>
      <c r="P241" s="57">
        <v>0</v>
      </c>
      <c r="Q241" s="57">
        <v>0</v>
      </c>
      <c r="R241" s="57">
        <v>0.4735</v>
      </c>
      <c r="S241" s="57"/>
      <c r="T241" s="57">
        <v>1.3133</v>
      </c>
      <c r="U241" s="57">
        <v>0.8136</v>
      </c>
      <c r="V241" s="57">
        <v>0.4292</v>
      </c>
      <c r="W241" s="57">
        <f t="shared" si="17"/>
        <v>1.01348</v>
      </c>
      <c r="X241" s="57"/>
      <c r="Y241" s="57">
        <v>0.9767</v>
      </c>
      <c r="Z241" s="57">
        <v>0.6096</v>
      </c>
      <c r="AA241" s="57">
        <v>0.3272</v>
      </c>
      <c r="AB241" s="57">
        <f t="shared" si="14"/>
        <v>0.75644</v>
      </c>
      <c r="AC241" s="57"/>
      <c r="AD241" s="57"/>
      <c r="AE241" s="57"/>
      <c r="AF241" s="73"/>
      <c r="AG241" s="58">
        <f t="shared" si="15"/>
        <v>0</v>
      </c>
      <c r="AH241" s="73"/>
    </row>
    <row r="242" ht="14.25" spans="1:34">
      <c r="A242" s="52">
        <v>240</v>
      </c>
      <c r="B242" s="61" t="s">
        <v>1057</v>
      </c>
      <c r="C242" s="62" t="s">
        <v>504</v>
      </c>
      <c r="D242" s="64" t="s">
        <v>1065</v>
      </c>
      <c r="E242" s="57">
        <v>20</v>
      </c>
      <c r="F242" s="52">
        <v>1.065</v>
      </c>
      <c r="G242" s="57">
        <v>1.017</v>
      </c>
      <c r="H242" s="58">
        <f t="shared" si="16"/>
        <v>1.03305</v>
      </c>
      <c r="I242" s="52">
        <v>18</v>
      </c>
      <c r="J242" s="52">
        <v>1.079</v>
      </c>
      <c r="K242" s="79">
        <v>1292</v>
      </c>
      <c r="L242" s="79">
        <v>840</v>
      </c>
      <c r="M242" s="57">
        <v>0</v>
      </c>
      <c r="N242" s="57">
        <v>0</v>
      </c>
      <c r="O242" s="57">
        <v>0</v>
      </c>
      <c r="P242" s="57">
        <v>0</v>
      </c>
      <c r="Q242" s="57">
        <v>0</v>
      </c>
      <c r="R242" s="57">
        <v>0.4735</v>
      </c>
      <c r="S242" s="57"/>
      <c r="T242" s="57">
        <v>1.4211</v>
      </c>
      <c r="U242" s="57">
        <v>0.8789</v>
      </c>
      <c r="V242" s="57">
        <v>0.4619</v>
      </c>
      <c r="W242" s="57">
        <f t="shared" si="17"/>
        <v>1.09578</v>
      </c>
      <c r="X242" s="57"/>
      <c r="Y242" s="57">
        <v>1.0729</v>
      </c>
      <c r="Z242" s="57">
        <v>0.6679</v>
      </c>
      <c r="AA242" s="57">
        <v>0.3564</v>
      </c>
      <c r="AB242" s="57">
        <f t="shared" si="14"/>
        <v>0.8299</v>
      </c>
      <c r="AC242" s="57"/>
      <c r="AD242" s="57"/>
      <c r="AE242" s="57"/>
      <c r="AF242" s="73"/>
      <c r="AG242" s="58">
        <f t="shared" si="15"/>
        <v>0</v>
      </c>
      <c r="AH242" s="73"/>
    </row>
    <row r="243" ht="14.25" spans="1:34">
      <c r="A243" s="52">
        <v>241</v>
      </c>
      <c r="B243" s="61" t="s">
        <v>1057</v>
      </c>
      <c r="C243" s="62" t="s">
        <v>504</v>
      </c>
      <c r="D243" s="64" t="s">
        <v>1066</v>
      </c>
      <c r="E243" s="57">
        <v>20</v>
      </c>
      <c r="F243" s="52">
        <v>0.997</v>
      </c>
      <c r="G243" s="57">
        <v>0.957</v>
      </c>
      <c r="H243" s="58">
        <f t="shared" si="16"/>
        <v>0.96709</v>
      </c>
      <c r="I243" s="52">
        <v>17</v>
      </c>
      <c r="J243" s="52">
        <v>1.017</v>
      </c>
      <c r="K243" s="79">
        <v>1208</v>
      </c>
      <c r="L243" s="79">
        <v>822</v>
      </c>
      <c r="M243" s="57">
        <v>0</v>
      </c>
      <c r="N243" s="57">
        <v>0</v>
      </c>
      <c r="O243" s="57">
        <v>0</v>
      </c>
      <c r="P243" s="57">
        <v>0</v>
      </c>
      <c r="Q243" s="57">
        <v>0</v>
      </c>
      <c r="R243" s="57">
        <v>0.4735</v>
      </c>
      <c r="S243" s="57"/>
      <c r="T243" s="57">
        <v>1.4491</v>
      </c>
      <c r="U243" s="57">
        <v>0.8959</v>
      </c>
      <c r="V243" s="57">
        <v>0.4704</v>
      </c>
      <c r="W243" s="57">
        <f t="shared" si="17"/>
        <v>1.11718</v>
      </c>
      <c r="X243" s="57"/>
      <c r="Y243" s="57">
        <v>1.1214</v>
      </c>
      <c r="Z243" s="57">
        <v>0.6973</v>
      </c>
      <c r="AA243" s="57">
        <v>0.3711</v>
      </c>
      <c r="AB243" s="57">
        <f t="shared" si="14"/>
        <v>0.86694</v>
      </c>
      <c r="AC243" s="57"/>
      <c r="AD243" s="57"/>
      <c r="AE243" s="57"/>
      <c r="AF243" s="73"/>
      <c r="AG243" s="58">
        <f t="shared" si="15"/>
        <v>0</v>
      </c>
      <c r="AH243" s="73"/>
    </row>
    <row r="244" ht="14.25" spans="1:34">
      <c r="A244" s="52">
        <v>242</v>
      </c>
      <c r="B244" s="61" t="s">
        <v>1057</v>
      </c>
      <c r="C244" s="62" t="s">
        <v>504</v>
      </c>
      <c r="D244" s="64" t="s">
        <v>1067</v>
      </c>
      <c r="E244" s="57">
        <v>20</v>
      </c>
      <c r="F244" s="52">
        <v>1.071</v>
      </c>
      <c r="G244" s="57">
        <v>1.03</v>
      </c>
      <c r="H244" s="58">
        <f t="shared" si="16"/>
        <v>1.03887</v>
      </c>
      <c r="I244" s="52">
        <v>17</v>
      </c>
      <c r="J244" s="52">
        <v>1.089</v>
      </c>
      <c r="K244" s="79">
        <v>1306</v>
      </c>
      <c r="L244" s="79">
        <v>835</v>
      </c>
      <c r="M244" s="57">
        <v>0</v>
      </c>
      <c r="N244" s="57">
        <v>0</v>
      </c>
      <c r="O244" s="57">
        <v>0</v>
      </c>
      <c r="P244" s="57">
        <v>0</v>
      </c>
      <c r="Q244" s="57">
        <v>0</v>
      </c>
      <c r="R244" s="57">
        <v>0.4735</v>
      </c>
      <c r="S244" s="57"/>
      <c r="T244" s="57">
        <v>1.1823</v>
      </c>
      <c r="U244" s="57">
        <v>0.8951</v>
      </c>
      <c r="V244" s="57">
        <v>0.3207</v>
      </c>
      <c r="W244" s="57">
        <f t="shared" si="17"/>
        <v>1.00998</v>
      </c>
      <c r="X244" s="57"/>
      <c r="Y244" s="57">
        <v>1.1488</v>
      </c>
      <c r="Z244" s="57">
        <v>0.8616</v>
      </c>
      <c r="AA244" s="57">
        <v>0.2872</v>
      </c>
      <c r="AB244" s="57">
        <f t="shared" si="14"/>
        <v>0.97648</v>
      </c>
      <c r="AC244" s="57">
        <v>0.68</v>
      </c>
      <c r="AD244" s="57"/>
      <c r="AE244" s="57"/>
      <c r="AF244" s="73"/>
      <c r="AG244" s="58">
        <f t="shared" si="15"/>
        <v>0</v>
      </c>
      <c r="AH244" s="73"/>
    </row>
    <row r="245" ht="14.25" spans="1:34">
      <c r="A245" s="52">
        <v>243</v>
      </c>
      <c r="B245" s="61" t="s">
        <v>1057</v>
      </c>
      <c r="C245" s="62" t="s">
        <v>504</v>
      </c>
      <c r="D245" s="64" t="s">
        <v>1068</v>
      </c>
      <c r="E245" s="57">
        <v>20</v>
      </c>
      <c r="F245" s="52">
        <v>1.103</v>
      </c>
      <c r="G245" s="57">
        <v>1.147</v>
      </c>
      <c r="H245" s="58">
        <f t="shared" si="16"/>
        <v>1.06991</v>
      </c>
      <c r="I245" s="52">
        <v>17</v>
      </c>
      <c r="J245" s="52">
        <v>1.153</v>
      </c>
      <c r="K245" s="79">
        <v>1391</v>
      </c>
      <c r="L245" s="79">
        <v>874</v>
      </c>
      <c r="M245" s="57">
        <v>0</v>
      </c>
      <c r="N245" s="57">
        <v>0</v>
      </c>
      <c r="O245" s="57">
        <v>0</v>
      </c>
      <c r="P245" s="57">
        <v>0</v>
      </c>
      <c r="Q245" s="57">
        <v>0</v>
      </c>
      <c r="R245" s="57">
        <v>0.4735</v>
      </c>
      <c r="S245" s="57"/>
      <c r="T245" s="57">
        <v>1.4491</v>
      </c>
      <c r="U245" s="57">
        <v>0.8959</v>
      </c>
      <c r="V245" s="57">
        <v>0.4704</v>
      </c>
      <c r="W245" s="57">
        <f t="shared" si="17"/>
        <v>1.11718</v>
      </c>
      <c r="X245" s="57"/>
      <c r="Y245" s="57">
        <v>1.1214</v>
      </c>
      <c r="Z245" s="57">
        <v>0.6973</v>
      </c>
      <c r="AA245" s="57">
        <v>0.3711</v>
      </c>
      <c r="AB245" s="57">
        <f t="shared" si="14"/>
        <v>0.86694</v>
      </c>
      <c r="AC245" s="57"/>
      <c r="AD245" s="57"/>
      <c r="AE245" s="57"/>
      <c r="AF245" s="73"/>
      <c r="AG245" s="58">
        <f t="shared" si="15"/>
        <v>0</v>
      </c>
      <c r="AH245" s="73"/>
    </row>
    <row r="246" ht="14.25" spans="1:34">
      <c r="A246" s="52">
        <v>244</v>
      </c>
      <c r="B246" s="61" t="s">
        <v>1057</v>
      </c>
      <c r="C246" s="62" t="s">
        <v>504</v>
      </c>
      <c r="D246" s="64" t="s">
        <v>1069</v>
      </c>
      <c r="E246" s="57">
        <v>20</v>
      </c>
      <c r="F246" s="52">
        <v>1.084</v>
      </c>
      <c r="G246" s="57">
        <v>1.039</v>
      </c>
      <c r="H246" s="58">
        <f t="shared" si="16"/>
        <v>1.05148</v>
      </c>
      <c r="I246" s="52">
        <v>17</v>
      </c>
      <c r="J246" s="52">
        <v>1.118</v>
      </c>
      <c r="K246" s="79">
        <v>1246</v>
      </c>
      <c r="L246" s="79">
        <v>850</v>
      </c>
      <c r="M246" s="57">
        <v>0</v>
      </c>
      <c r="N246" s="57">
        <v>0</v>
      </c>
      <c r="O246" s="57">
        <v>0</v>
      </c>
      <c r="P246" s="57">
        <v>0</v>
      </c>
      <c r="Q246" s="57">
        <v>0</v>
      </c>
      <c r="R246" s="57">
        <v>0.4735</v>
      </c>
      <c r="S246" s="57"/>
      <c r="T246" s="57">
        <v>1.4491</v>
      </c>
      <c r="U246" s="57">
        <v>0.8959</v>
      </c>
      <c r="V246" s="57">
        <v>0.4704</v>
      </c>
      <c r="W246" s="57">
        <f t="shared" si="17"/>
        <v>1.11718</v>
      </c>
      <c r="X246" s="57"/>
      <c r="Y246" s="57">
        <v>1.1214</v>
      </c>
      <c r="Z246" s="57">
        <v>0.6973</v>
      </c>
      <c r="AA246" s="57">
        <v>0.3711</v>
      </c>
      <c r="AB246" s="57">
        <f t="shared" si="14"/>
        <v>0.86694</v>
      </c>
      <c r="AC246" s="57"/>
      <c r="AD246" s="57"/>
      <c r="AE246" s="57"/>
      <c r="AF246" s="73"/>
      <c r="AG246" s="58">
        <f t="shared" si="15"/>
        <v>0</v>
      </c>
      <c r="AH246" s="73"/>
    </row>
    <row r="247" ht="14.25" spans="1:34">
      <c r="A247" s="52">
        <v>245</v>
      </c>
      <c r="B247" s="61" t="s">
        <v>1057</v>
      </c>
      <c r="C247" s="62" t="s">
        <v>504</v>
      </c>
      <c r="D247" s="64" t="s">
        <v>1070</v>
      </c>
      <c r="E247" s="57">
        <v>20</v>
      </c>
      <c r="F247" s="52">
        <v>1.062</v>
      </c>
      <c r="G247" s="57">
        <v>1.023</v>
      </c>
      <c r="H247" s="58">
        <f t="shared" si="16"/>
        <v>1.03014</v>
      </c>
      <c r="I247" s="52">
        <v>17</v>
      </c>
      <c r="J247" s="52">
        <v>1.084</v>
      </c>
      <c r="K247" s="79">
        <v>1287</v>
      </c>
      <c r="L247" s="79">
        <v>874</v>
      </c>
      <c r="M247" s="57">
        <v>0</v>
      </c>
      <c r="N247" s="57">
        <v>0</v>
      </c>
      <c r="O247" s="57">
        <v>0</v>
      </c>
      <c r="P247" s="57">
        <v>0</v>
      </c>
      <c r="Q247" s="57">
        <v>0</v>
      </c>
      <c r="R247" s="57">
        <v>0.4735</v>
      </c>
      <c r="S247" s="57"/>
      <c r="T247" s="57">
        <v>1.426</v>
      </c>
      <c r="U247" s="57">
        <v>0.8819</v>
      </c>
      <c r="V247" s="57">
        <v>0.4634</v>
      </c>
      <c r="W247" s="57">
        <f t="shared" si="17"/>
        <v>1.09954</v>
      </c>
      <c r="X247" s="57"/>
      <c r="Y247" s="57">
        <v>1.1214</v>
      </c>
      <c r="Z247" s="57">
        <v>0.6973</v>
      </c>
      <c r="AA247" s="57">
        <v>0.3711</v>
      </c>
      <c r="AB247" s="57">
        <f t="shared" si="14"/>
        <v>0.86694</v>
      </c>
      <c r="AC247" s="57"/>
      <c r="AD247" s="57"/>
      <c r="AE247" s="57"/>
      <c r="AF247" s="73"/>
      <c r="AG247" s="58">
        <f t="shared" si="15"/>
        <v>0</v>
      </c>
      <c r="AH247" s="73"/>
    </row>
    <row r="248" ht="14.25" spans="1:34">
      <c r="A248" s="52">
        <v>246</v>
      </c>
      <c r="B248" s="61" t="s">
        <v>1057</v>
      </c>
      <c r="C248" s="62" t="s">
        <v>504</v>
      </c>
      <c r="D248" s="64" t="s">
        <v>1071</v>
      </c>
      <c r="E248" s="57">
        <v>20</v>
      </c>
      <c r="F248" s="52">
        <v>0.964</v>
      </c>
      <c r="G248" s="57">
        <v>0.927</v>
      </c>
      <c r="H248" s="58">
        <f t="shared" si="16"/>
        <v>0.93508</v>
      </c>
      <c r="I248" s="52">
        <v>18</v>
      </c>
      <c r="J248" s="52">
        <v>0.99</v>
      </c>
      <c r="K248" s="79">
        <v>1174</v>
      </c>
      <c r="L248" s="79">
        <v>776</v>
      </c>
      <c r="M248" s="57">
        <v>0</v>
      </c>
      <c r="N248" s="57">
        <v>0</v>
      </c>
      <c r="O248" s="57">
        <v>0</v>
      </c>
      <c r="P248" s="57">
        <v>0</v>
      </c>
      <c r="Q248" s="57">
        <v>0</v>
      </c>
      <c r="R248" s="57">
        <v>0.4735</v>
      </c>
      <c r="S248" s="57"/>
      <c r="T248" s="57">
        <v>1.4491</v>
      </c>
      <c r="U248" s="57">
        <v>0.8959</v>
      </c>
      <c r="V248" s="57">
        <v>0.4704</v>
      </c>
      <c r="W248" s="57">
        <f t="shared" si="17"/>
        <v>1.11718</v>
      </c>
      <c r="X248" s="57"/>
      <c r="Y248" s="57">
        <v>1.1214</v>
      </c>
      <c r="Z248" s="57">
        <v>0.6973</v>
      </c>
      <c r="AA248" s="57">
        <v>0.3711</v>
      </c>
      <c r="AB248" s="57">
        <f t="shared" si="14"/>
        <v>0.86694</v>
      </c>
      <c r="AC248" s="57"/>
      <c r="AD248" s="57"/>
      <c r="AE248" s="57"/>
      <c r="AF248" s="73"/>
      <c r="AG248" s="58">
        <f t="shared" si="15"/>
        <v>0</v>
      </c>
      <c r="AH248" s="73"/>
    </row>
    <row r="249" ht="14.25" spans="1:34">
      <c r="A249" s="52">
        <v>247</v>
      </c>
      <c r="B249" s="61" t="s">
        <v>1057</v>
      </c>
      <c r="C249" s="62" t="s">
        <v>504</v>
      </c>
      <c r="D249" s="64" t="s">
        <v>1072</v>
      </c>
      <c r="E249" s="57">
        <v>20</v>
      </c>
      <c r="F249" s="52">
        <v>0.996</v>
      </c>
      <c r="G249" s="57">
        <v>0.961</v>
      </c>
      <c r="H249" s="58">
        <f t="shared" si="16"/>
        <v>0.96612</v>
      </c>
      <c r="I249" s="52">
        <v>18</v>
      </c>
      <c r="J249" s="52">
        <v>1.003</v>
      </c>
      <c r="K249" s="79">
        <v>1211</v>
      </c>
      <c r="L249" s="79">
        <v>797</v>
      </c>
      <c r="M249" s="57">
        <v>0</v>
      </c>
      <c r="N249" s="57">
        <v>0</v>
      </c>
      <c r="O249" s="57">
        <v>0</v>
      </c>
      <c r="P249" s="57">
        <v>0</v>
      </c>
      <c r="Q249" s="57">
        <v>0</v>
      </c>
      <c r="R249" s="57">
        <v>0.4735</v>
      </c>
      <c r="S249" s="57"/>
      <c r="T249" s="57">
        <v>1.3133</v>
      </c>
      <c r="U249" s="57">
        <v>0.8136</v>
      </c>
      <c r="V249" s="57">
        <v>0.4292</v>
      </c>
      <c r="W249" s="57">
        <f t="shared" si="17"/>
        <v>1.01348</v>
      </c>
      <c r="X249" s="57"/>
      <c r="Y249" s="57">
        <v>0.9767</v>
      </c>
      <c r="Z249" s="57">
        <v>0.6096</v>
      </c>
      <c r="AA249" s="57">
        <v>0.3272</v>
      </c>
      <c r="AB249" s="57">
        <f t="shared" si="14"/>
        <v>0.75644</v>
      </c>
      <c r="AC249" s="57"/>
      <c r="AD249" s="57"/>
      <c r="AE249" s="57"/>
      <c r="AF249" s="73"/>
      <c r="AG249" s="58">
        <f t="shared" si="15"/>
        <v>0</v>
      </c>
      <c r="AH249" s="73"/>
    </row>
    <row r="250" ht="14.25" spans="1:34">
      <c r="A250" s="52">
        <v>248</v>
      </c>
      <c r="B250" s="61" t="s">
        <v>1057</v>
      </c>
      <c r="C250" s="62" t="s">
        <v>504</v>
      </c>
      <c r="D250" s="64" t="s">
        <v>1073</v>
      </c>
      <c r="E250" s="57">
        <v>20</v>
      </c>
      <c r="F250" s="52">
        <v>0.992</v>
      </c>
      <c r="G250" s="57">
        <v>0.958</v>
      </c>
      <c r="H250" s="58">
        <f t="shared" si="16"/>
        <v>0.96224</v>
      </c>
      <c r="I250" s="52">
        <v>17</v>
      </c>
      <c r="J250" s="52">
        <v>1.018</v>
      </c>
      <c r="K250" s="79">
        <v>1216</v>
      </c>
      <c r="L250" s="79">
        <v>812</v>
      </c>
      <c r="M250" s="57">
        <v>0</v>
      </c>
      <c r="N250" s="57">
        <v>0</v>
      </c>
      <c r="O250" s="57">
        <v>0</v>
      </c>
      <c r="P250" s="57">
        <v>0</v>
      </c>
      <c r="Q250" s="57">
        <v>0</v>
      </c>
      <c r="R250" s="57">
        <v>0.4735</v>
      </c>
      <c r="S250" s="57"/>
      <c r="T250" s="57">
        <v>1.2306</v>
      </c>
      <c r="U250" s="57">
        <v>0.7756</v>
      </c>
      <c r="V250" s="57">
        <v>0.4102</v>
      </c>
      <c r="W250" s="57">
        <f t="shared" si="17"/>
        <v>0.9576</v>
      </c>
      <c r="X250" s="57"/>
      <c r="Y250" s="57">
        <v>0.8926</v>
      </c>
      <c r="Z250" s="57">
        <v>0.5586</v>
      </c>
      <c r="AA250" s="57">
        <v>0.3017</v>
      </c>
      <c r="AB250" s="57">
        <f t="shared" si="14"/>
        <v>0.6922</v>
      </c>
      <c r="AC250" s="57"/>
      <c r="AD250" s="57"/>
      <c r="AE250" s="57"/>
      <c r="AF250" s="73"/>
      <c r="AG250" s="58">
        <f t="shared" si="15"/>
        <v>0</v>
      </c>
      <c r="AH250" s="73"/>
    </row>
    <row r="251" ht="14.25" spans="1:34">
      <c r="A251" s="52">
        <v>249</v>
      </c>
      <c r="B251" s="61" t="s">
        <v>1057</v>
      </c>
      <c r="C251" s="62" t="s">
        <v>504</v>
      </c>
      <c r="D251" s="64" t="s">
        <v>1074</v>
      </c>
      <c r="E251" s="57">
        <v>20</v>
      </c>
      <c r="F251" s="52">
        <v>1.067</v>
      </c>
      <c r="G251" s="57">
        <v>1.031</v>
      </c>
      <c r="H251" s="58">
        <f t="shared" si="16"/>
        <v>1.03499</v>
      </c>
      <c r="I251" s="52">
        <v>16</v>
      </c>
      <c r="J251" s="52">
        <v>1.127</v>
      </c>
      <c r="K251" s="79">
        <v>1307</v>
      </c>
      <c r="L251" s="79">
        <v>837</v>
      </c>
      <c r="M251" s="57">
        <v>0</v>
      </c>
      <c r="N251" s="57">
        <v>0</v>
      </c>
      <c r="O251" s="57">
        <v>0</v>
      </c>
      <c r="P251" s="57">
        <v>0</v>
      </c>
      <c r="Q251" s="57">
        <v>0</v>
      </c>
      <c r="R251" s="57">
        <v>0.4735</v>
      </c>
      <c r="S251" s="57"/>
      <c r="T251" s="57">
        <v>1.3133</v>
      </c>
      <c r="U251" s="57">
        <v>0.8136</v>
      </c>
      <c r="V251" s="57">
        <v>0.4292</v>
      </c>
      <c r="W251" s="57">
        <f t="shared" si="17"/>
        <v>1.01348</v>
      </c>
      <c r="X251" s="57"/>
      <c r="Y251" s="57">
        <v>0.9767</v>
      </c>
      <c r="Z251" s="57">
        <v>0.6096</v>
      </c>
      <c r="AA251" s="57">
        <v>0.3272</v>
      </c>
      <c r="AB251" s="57">
        <f t="shared" si="14"/>
        <v>0.75644</v>
      </c>
      <c r="AC251" s="57"/>
      <c r="AD251" s="57"/>
      <c r="AE251" s="57"/>
      <c r="AF251" s="73"/>
      <c r="AG251" s="58">
        <f t="shared" si="15"/>
        <v>0</v>
      </c>
      <c r="AH251" s="73"/>
    </row>
    <row r="252" ht="14.25" spans="1:34">
      <c r="A252" s="52">
        <v>250</v>
      </c>
      <c r="B252" s="61" t="s">
        <v>1057</v>
      </c>
      <c r="C252" s="62" t="s">
        <v>504</v>
      </c>
      <c r="D252" s="64" t="s">
        <v>1075</v>
      </c>
      <c r="E252" s="57">
        <v>18</v>
      </c>
      <c r="F252" s="52">
        <v>1.133</v>
      </c>
      <c r="G252" s="57">
        <v>1.093</v>
      </c>
      <c r="H252" s="58">
        <f t="shared" si="16"/>
        <v>1.09901</v>
      </c>
      <c r="I252" s="52">
        <v>16</v>
      </c>
      <c r="J252" s="52">
        <v>1.108</v>
      </c>
      <c r="K252" s="79">
        <v>1388</v>
      </c>
      <c r="L252" s="79">
        <v>890</v>
      </c>
      <c r="M252" s="57">
        <v>0</v>
      </c>
      <c r="N252" s="57">
        <v>0</v>
      </c>
      <c r="O252" s="57">
        <v>0</v>
      </c>
      <c r="P252" s="57">
        <v>0</v>
      </c>
      <c r="Q252" s="57">
        <v>0</v>
      </c>
      <c r="R252" s="57">
        <v>0.4735</v>
      </c>
      <c r="S252" s="57"/>
      <c r="T252" s="57">
        <v>1.3133</v>
      </c>
      <c r="U252" s="57">
        <v>0.8136</v>
      </c>
      <c r="V252" s="57">
        <v>0.4292</v>
      </c>
      <c r="W252" s="57">
        <f t="shared" si="17"/>
        <v>1.01348</v>
      </c>
      <c r="X252" s="57"/>
      <c r="Y252" s="57">
        <v>0.9767</v>
      </c>
      <c r="Z252" s="57">
        <v>0.6096</v>
      </c>
      <c r="AA252" s="57">
        <v>0.3272</v>
      </c>
      <c r="AB252" s="57">
        <f t="shared" si="14"/>
        <v>0.75644</v>
      </c>
      <c r="AC252" s="57"/>
      <c r="AD252" s="57"/>
      <c r="AE252" s="57"/>
      <c r="AF252" s="73"/>
      <c r="AG252" s="58">
        <f t="shared" si="15"/>
        <v>0</v>
      </c>
      <c r="AH252" s="73"/>
    </row>
    <row r="253" ht="14.25" spans="1:34">
      <c r="A253" s="52">
        <v>251</v>
      </c>
      <c r="B253" s="61" t="s">
        <v>1057</v>
      </c>
      <c r="C253" s="62" t="s">
        <v>504</v>
      </c>
      <c r="D253" s="64" t="s">
        <v>1076</v>
      </c>
      <c r="E253" s="57">
        <v>18</v>
      </c>
      <c r="F253" s="52">
        <v>1.213</v>
      </c>
      <c r="G253" s="57">
        <v>1.173</v>
      </c>
      <c r="H253" s="58">
        <f t="shared" si="16"/>
        <v>1.17661</v>
      </c>
      <c r="I253" s="52">
        <v>14</v>
      </c>
      <c r="J253" s="52">
        <v>1.125</v>
      </c>
      <c r="K253" s="79">
        <v>1484</v>
      </c>
      <c r="L253" s="79">
        <v>894</v>
      </c>
      <c r="M253" s="57">
        <v>0</v>
      </c>
      <c r="N253" s="57">
        <v>0</v>
      </c>
      <c r="O253" s="57">
        <v>0</v>
      </c>
      <c r="P253" s="57">
        <v>0</v>
      </c>
      <c r="Q253" s="57">
        <v>0</v>
      </c>
      <c r="R253" s="57">
        <v>0.4735</v>
      </c>
      <c r="S253" s="57"/>
      <c r="T253" s="57">
        <v>1.3133</v>
      </c>
      <c r="U253" s="57">
        <v>0.8136</v>
      </c>
      <c r="V253" s="57">
        <v>0.4292</v>
      </c>
      <c r="W253" s="57">
        <f t="shared" si="17"/>
        <v>1.01348</v>
      </c>
      <c r="X253" s="57"/>
      <c r="Y253" s="57">
        <v>0.9767</v>
      </c>
      <c r="Z253" s="57">
        <v>0.6096</v>
      </c>
      <c r="AA253" s="57">
        <v>0.3272</v>
      </c>
      <c r="AB253" s="57">
        <f t="shared" si="14"/>
        <v>0.75644</v>
      </c>
      <c r="AC253" s="57"/>
      <c r="AD253" s="57"/>
      <c r="AE253" s="57"/>
      <c r="AF253" s="73"/>
      <c r="AG253" s="58">
        <f t="shared" si="15"/>
        <v>0</v>
      </c>
      <c r="AH253" s="73"/>
    </row>
    <row r="254" ht="14.25" spans="1:34">
      <c r="A254" s="52">
        <v>252</v>
      </c>
      <c r="B254" s="61" t="s">
        <v>1057</v>
      </c>
      <c r="C254" s="62" t="s">
        <v>492</v>
      </c>
      <c r="D254" s="65" t="s">
        <v>619</v>
      </c>
      <c r="E254" s="57">
        <v>16</v>
      </c>
      <c r="F254" s="63">
        <v>0.994</v>
      </c>
      <c r="G254" s="57">
        <v>0.97</v>
      </c>
      <c r="H254" s="58">
        <f t="shared" si="16"/>
        <v>0.96418</v>
      </c>
      <c r="I254" s="52">
        <v>14</v>
      </c>
      <c r="J254" s="52">
        <v>1.044</v>
      </c>
      <c r="K254" s="79">
        <v>1229</v>
      </c>
      <c r="L254" s="79">
        <v>836</v>
      </c>
      <c r="M254" s="57">
        <v>0</v>
      </c>
      <c r="N254" s="57">
        <v>0</v>
      </c>
      <c r="O254" s="57">
        <v>0</v>
      </c>
      <c r="P254" s="57">
        <v>0</v>
      </c>
      <c r="Q254" s="57">
        <v>0</v>
      </c>
      <c r="R254" s="57">
        <v>0.4424</v>
      </c>
      <c r="S254" s="57"/>
      <c r="T254" s="57"/>
      <c r="U254" s="57">
        <v>0.8271</v>
      </c>
      <c r="V254" s="57"/>
      <c r="W254" s="57">
        <f t="shared" si="17"/>
        <v>0.8271</v>
      </c>
      <c r="X254" s="57"/>
      <c r="Y254" s="57"/>
      <c r="Z254" s="57">
        <v>0.6357</v>
      </c>
      <c r="AA254" s="57"/>
      <c r="AB254" s="57">
        <f t="shared" si="14"/>
        <v>0.6357</v>
      </c>
      <c r="AC254" s="57">
        <v>0.5233</v>
      </c>
      <c r="AD254" s="57"/>
      <c r="AE254" s="57"/>
      <c r="AF254" s="58">
        <v>1</v>
      </c>
      <c r="AG254" s="58">
        <f t="shared" si="15"/>
        <v>1.20904364647564</v>
      </c>
      <c r="AH254" s="58">
        <v>0.94</v>
      </c>
    </row>
    <row r="255" ht="14.25" spans="1:34">
      <c r="A255" s="52">
        <v>253</v>
      </c>
      <c r="B255" s="61" t="s">
        <v>1057</v>
      </c>
      <c r="C255" s="62" t="s">
        <v>492</v>
      </c>
      <c r="D255" s="64" t="s">
        <v>618</v>
      </c>
      <c r="E255" s="57">
        <v>20</v>
      </c>
      <c r="F255" s="52">
        <v>0.97</v>
      </c>
      <c r="G255" s="57">
        <v>0.933</v>
      </c>
      <c r="H255" s="58">
        <f t="shared" si="16"/>
        <v>0.9409</v>
      </c>
      <c r="I255" s="52">
        <v>17</v>
      </c>
      <c r="J255" s="52">
        <v>0.967</v>
      </c>
      <c r="K255" s="79">
        <v>1173</v>
      </c>
      <c r="L255" s="79">
        <v>775</v>
      </c>
      <c r="M255" s="57">
        <v>0</v>
      </c>
      <c r="N255" s="57">
        <v>0</v>
      </c>
      <c r="O255" s="57">
        <v>0</v>
      </c>
      <c r="P255" s="57">
        <v>0</v>
      </c>
      <c r="Q255" s="57">
        <v>0</v>
      </c>
      <c r="R255" s="57">
        <v>0.4424</v>
      </c>
      <c r="S255" s="57"/>
      <c r="T255" s="57"/>
      <c r="U255" s="57">
        <v>0.8271</v>
      </c>
      <c r="V255" s="57"/>
      <c r="W255" s="57">
        <f t="shared" si="17"/>
        <v>0.8271</v>
      </c>
      <c r="X255" s="57"/>
      <c r="Y255" s="57"/>
      <c r="Z255" s="57">
        <v>0.6357</v>
      </c>
      <c r="AA255" s="57"/>
      <c r="AB255" s="57">
        <f t="shared" si="14"/>
        <v>0.6357</v>
      </c>
      <c r="AC255" s="57">
        <v>0.5233</v>
      </c>
      <c r="AD255" s="57"/>
      <c r="AE255" s="57"/>
      <c r="AF255" s="73"/>
      <c r="AG255" s="58">
        <f t="shared" si="15"/>
        <v>0</v>
      </c>
      <c r="AH255" s="73"/>
    </row>
    <row r="256" ht="14.25" spans="1:34">
      <c r="A256" s="52">
        <v>254</v>
      </c>
      <c r="B256" s="61" t="s">
        <v>1057</v>
      </c>
      <c r="C256" s="62" t="s">
        <v>492</v>
      </c>
      <c r="D256" s="64" t="s">
        <v>1077</v>
      </c>
      <c r="E256" s="57">
        <v>18</v>
      </c>
      <c r="F256" s="52">
        <v>0.991</v>
      </c>
      <c r="G256" s="57">
        <v>0.96</v>
      </c>
      <c r="H256" s="58">
        <f t="shared" si="16"/>
        <v>0.96127</v>
      </c>
      <c r="I256" s="52">
        <v>15</v>
      </c>
      <c r="J256" s="52">
        <v>1.094</v>
      </c>
      <c r="K256" s="79">
        <v>1220</v>
      </c>
      <c r="L256" s="79">
        <v>788</v>
      </c>
      <c r="M256" s="57">
        <v>0</v>
      </c>
      <c r="N256" s="57">
        <v>0</v>
      </c>
      <c r="O256" s="57">
        <v>0</v>
      </c>
      <c r="P256" s="57">
        <v>0</v>
      </c>
      <c r="Q256" s="57">
        <v>0</v>
      </c>
      <c r="R256" s="57">
        <v>0.4424</v>
      </c>
      <c r="S256" s="57"/>
      <c r="T256" s="57"/>
      <c r="U256" s="57">
        <v>0.8271</v>
      </c>
      <c r="V256" s="57"/>
      <c r="W256" s="57">
        <f t="shared" si="17"/>
        <v>0.8271</v>
      </c>
      <c r="X256" s="57"/>
      <c r="Y256" s="57"/>
      <c r="Z256" s="57">
        <v>0.6357</v>
      </c>
      <c r="AA256" s="57"/>
      <c r="AB256" s="57">
        <f t="shared" si="14"/>
        <v>0.6357</v>
      </c>
      <c r="AC256" s="57">
        <v>0.5233</v>
      </c>
      <c r="AD256" s="57"/>
      <c r="AE256" s="57"/>
      <c r="AF256" s="73"/>
      <c r="AG256" s="58">
        <f t="shared" si="15"/>
        <v>0</v>
      </c>
      <c r="AH256" s="73"/>
    </row>
    <row r="257" ht="14.25" spans="1:34">
      <c r="A257" s="52">
        <v>255</v>
      </c>
      <c r="B257" s="61" t="s">
        <v>1057</v>
      </c>
      <c r="C257" s="62" t="s">
        <v>492</v>
      </c>
      <c r="D257" s="64" t="s">
        <v>1078</v>
      </c>
      <c r="E257" s="57">
        <v>19</v>
      </c>
      <c r="F257" s="52">
        <v>1.002</v>
      </c>
      <c r="G257" s="57">
        <v>0.973</v>
      </c>
      <c r="H257" s="58">
        <f t="shared" si="16"/>
        <v>0.97194</v>
      </c>
      <c r="I257" s="52">
        <v>16</v>
      </c>
      <c r="J257" s="52">
        <v>1.079</v>
      </c>
      <c r="K257" s="79">
        <v>1243</v>
      </c>
      <c r="L257" s="79">
        <v>832</v>
      </c>
      <c r="M257" s="57">
        <v>0</v>
      </c>
      <c r="N257" s="57">
        <v>0</v>
      </c>
      <c r="O257" s="57">
        <v>0</v>
      </c>
      <c r="P257" s="57">
        <v>0</v>
      </c>
      <c r="Q257" s="57">
        <v>0</v>
      </c>
      <c r="R257" s="57">
        <v>0.4424</v>
      </c>
      <c r="S257" s="57"/>
      <c r="T257" s="57"/>
      <c r="U257" s="57">
        <v>0.8271</v>
      </c>
      <c r="V257" s="57"/>
      <c r="W257" s="57">
        <f t="shared" si="17"/>
        <v>0.8271</v>
      </c>
      <c r="X257" s="57"/>
      <c r="Y257" s="57"/>
      <c r="Z257" s="57">
        <v>0.6357</v>
      </c>
      <c r="AA257" s="57"/>
      <c r="AB257" s="57">
        <f t="shared" si="14"/>
        <v>0.6357</v>
      </c>
      <c r="AC257" s="57">
        <v>0.5233</v>
      </c>
      <c r="AD257" s="57"/>
      <c r="AE257" s="57"/>
      <c r="AF257" s="73"/>
      <c r="AG257" s="58">
        <f t="shared" si="15"/>
        <v>0</v>
      </c>
      <c r="AH257" s="73"/>
    </row>
    <row r="258" ht="14.25" spans="1:34">
      <c r="A258" s="52">
        <v>256</v>
      </c>
      <c r="B258" s="61" t="s">
        <v>1057</v>
      </c>
      <c r="C258" s="62" t="s">
        <v>492</v>
      </c>
      <c r="D258" s="64" t="s">
        <v>1079</v>
      </c>
      <c r="E258" s="57">
        <v>15</v>
      </c>
      <c r="F258" s="52">
        <v>1.081</v>
      </c>
      <c r="G258" s="57">
        <v>1.11</v>
      </c>
      <c r="H258" s="58">
        <f t="shared" si="16"/>
        <v>1.04857</v>
      </c>
      <c r="I258" s="52">
        <v>14</v>
      </c>
      <c r="J258" s="52">
        <v>1.059</v>
      </c>
      <c r="K258" s="79">
        <v>1369</v>
      </c>
      <c r="L258" s="79">
        <v>900</v>
      </c>
      <c r="M258" s="57">
        <v>0</v>
      </c>
      <c r="N258" s="57">
        <v>0</v>
      </c>
      <c r="O258" s="57">
        <v>0</v>
      </c>
      <c r="P258" s="57">
        <v>0</v>
      </c>
      <c r="Q258" s="57">
        <v>0</v>
      </c>
      <c r="R258" s="57">
        <v>0.4424</v>
      </c>
      <c r="S258" s="57"/>
      <c r="T258" s="57"/>
      <c r="U258" s="57">
        <v>0.8271</v>
      </c>
      <c r="V258" s="57"/>
      <c r="W258" s="57">
        <f t="shared" si="17"/>
        <v>0.8271</v>
      </c>
      <c r="X258" s="57"/>
      <c r="Y258" s="57"/>
      <c r="Z258" s="57">
        <v>0.6357</v>
      </c>
      <c r="AA258" s="57"/>
      <c r="AB258" s="57">
        <f t="shared" si="14"/>
        <v>0.6357</v>
      </c>
      <c r="AC258" s="57">
        <v>0.5233</v>
      </c>
      <c r="AD258" s="57"/>
      <c r="AE258" s="57"/>
      <c r="AF258" s="73"/>
      <c r="AG258" s="58">
        <f t="shared" si="15"/>
        <v>0</v>
      </c>
      <c r="AH258" s="73"/>
    </row>
    <row r="259" ht="14.25" spans="1:34">
      <c r="A259" s="52">
        <v>257</v>
      </c>
      <c r="B259" s="61" t="s">
        <v>1057</v>
      </c>
      <c r="C259" s="62" t="s">
        <v>492</v>
      </c>
      <c r="D259" s="64" t="s">
        <v>620</v>
      </c>
      <c r="E259" s="57">
        <v>18</v>
      </c>
      <c r="F259" s="52">
        <v>1.168</v>
      </c>
      <c r="G259" s="57">
        <v>1.13</v>
      </c>
      <c r="H259" s="58">
        <f t="shared" si="16"/>
        <v>1.13296</v>
      </c>
      <c r="I259" s="52">
        <v>14</v>
      </c>
      <c r="J259" s="52">
        <v>1.085</v>
      </c>
      <c r="K259" s="79">
        <v>1430</v>
      </c>
      <c r="L259" s="79">
        <v>885</v>
      </c>
      <c r="M259" s="57">
        <v>0</v>
      </c>
      <c r="N259" s="57">
        <v>0</v>
      </c>
      <c r="O259" s="57">
        <v>0</v>
      </c>
      <c r="P259" s="57">
        <v>0</v>
      </c>
      <c r="Q259" s="57">
        <v>0</v>
      </c>
      <c r="R259" s="57">
        <v>0.4424</v>
      </c>
      <c r="S259" s="57"/>
      <c r="T259" s="57"/>
      <c r="U259" s="57">
        <v>0.8271</v>
      </c>
      <c r="V259" s="57"/>
      <c r="W259" s="57">
        <f t="shared" si="17"/>
        <v>0.8271</v>
      </c>
      <c r="X259" s="57"/>
      <c r="Y259" s="57"/>
      <c r="Z259" s="57">
        <v>0.6357</v>
      </c>
      <c r="AA259" s="57"/>
      <c r="AB259" s="57">
        <f t="shared" si="14"/>
        <v>0.6357</v>
      </c>
      <c r="AC259" s="57">
        <v>0.5233</v>
      </c>
      <c r="AD259" s="57"/>
      <c r="AE259" s="57"/>
      <c r="AF259" s="73"/>
      <c r="AG259" s="58">
        <f t="shared" si="15"/>
        <v>0</v>
      </c>
      <c r="AH259" s="73"/>
    </row>
    <row r="260" ht="14.25" spans="1:34">
      <c r="A260" s="52">
        <v>258</v>
      </c>
      <c r="B260" s="61" t="s">
        <v>1057</v>
      </c>
      <c r="C260" s="62" t="s">
        <v>492</v>
      </c>
      <c r="D260" s="64" t="s">
        <v>1080</v>
      </c>
      <c r="E260" s="57">
        <v>20</v>
      </c>
      <c r="F260" s="52">
        <v>0.984</v>
      </c>
      <c r="G260" s="57">
        <v>0.952</v>
      </c>
      <c r="H260" s="58">
        <f t="shared" si="16"/>
        <v>0.95448</v>
      </c>
      <c r="I260" s="52">
        <v>16</v>
      </c>
      <c r="J260" s="52">
        <v>1.046</v>
      </c>
      <c r="K260" s="79">
        <v>1204</v>
      </c>
      <c r="L260" s="79">
        <v>806</v>
      </c>
      <c r="M260" s="57">
        <v>0</v>
      </c>
      <c r="N260" s="57">
        <v>0</v>
      </c>
      <c r="O260" s="57">
        <v>0</v>
      </c>
      <c r="P260" s="57">
        <v>0</v>
      </c>
      <c r="Q260" s="57">
        <v>0</v>
      </c>
      <c r="R260" s="57">
        <v>0.4424</v>
      </c>
      <c r="S260" s="57"/>
      <c r="T260" s="57"/>
      <c r="U260" s="57">
        <v>0.8271</v>
      </c>
      <c r="V260" s="57"/>
      <c r="W260" s="57">
        <f t="shared" si="17"/>
        <v>0.8271</v>
      </c>
      <c r="X260" s="57"/>
      <c r="Y260" s="57"/>
      <c r="Z260" s="57">
        <v>0.6357</v>
      </c>
      <c r="AA260" s="57"/>
      <c r="AB260" s="57">
        <f t="shared" ref="AB260:AB323" si="18">IF(Y260="",Z260,Y260*0.4+Z260*0.6)</f>
        <v>0.6357</v>
      </c>
      <c r="AC260" s="57">
        <v>0.5233</v>
      </c>
      <c r="AD260" s="57"/>
      <c r="AE260" s="57"/>
      <c r="AF260" s="73"/>
      <c r="AG260" s="58">
        <f t="shared" ref="AG260:AG323" si="19">1-(W260-AF260)/W260</f>
        <v>0</v>
      </c>
      <c r="AH260" s="73"/>
    </row>
    <row r="261" ht="14.25" spans="1:34">
      <c r="A261" s="52">
        <v>259</v>
      </c>
      <c r="B261" s="61" t="s">
        <v>1057</v>
      </c>
      <c r="C261" s="62" t="s">
        <v>492</v>
      </c>
      <c r="D261" s="64" t="s">
        <v>1081</v>
      </c>
      <c r="E261" s="57">
        <v>20</v>
      </c>
      <c r="F261" s="52">
        <v>0.991</v>
      </c>
      <c r="G261" s="57">
        <v>0.956</v>
      </c>
      <c r="H261" s="58">
        <f t="shared" si="16"/>
        <v>0.96127</v>
      </c>
      <c r="I261" s="52">
        <v>16</v>
      </c>
      <c r="J261" s="52">
        <v>0.998</v>
      </c>
      <c r="K261" s="79">
        <v>1211</v>
      </c>
      <c r="L261" s="79">
        <v>807</v>
      </c>
      <c r="M261" s="57">
        <v>0</v>
      </c>
      <c r="N261" s="57">
        <v>0</v>
      </c>
      <c r="O261" s="57">
        <v>0</v>
      </c>
      <c r="P261" s="57">
        <v>0</v>
      </c>
      <c r="Q261" s="57">
        <v>0</v>
      </c>
      <c r="R261" s="57">
        <v>0.4424</v>
      </c>
      <c r="S261" s="57"/>
      <c r="T261" s="57"/>
      <c r="U261" s="57">
        <v>0.8271</v>
      </c>
      <c r="V261" s="57"/>
      <c r="W261" s="57">
        <f t="shared" si="17"/>
        <v>0.8271</v>
      </c>
      <c r="X261" s="57"/>
      <c r="Y261" s="57"/>
      <c r="Z261" s="57">
        <v>0.6357</v>
      </c>
      <c r="AA261" s="57"/>
      <c r="AB261" s="57">
        <f t="shared" si="18"/>
        <v>0.6357</v>
      </c>
      <c r="AC261" s="57">
        <v>0.5233</v>
      </c>
      <c r="AD261" s="57"/>
      <c r="AE261" s="57"/>
      <c r="AF261" s="73"/>
      <c r="AG261" s="58">
        <f t="shared" si="19"/>
        <v>0</v>
      </c>
      <c r="AH261" s="73"/>
    </row>
    <row r="262" ht="14.25" spans="1:34">
      <c r="A262" s="52">
        <v>260</v>
      </c>
      <c r="B262" s="61" t="s">
        <v>1057</v>
      </c>
      <c r="C262" s="62" t="s">
        <v>492</v>
      </c>
      <c r="D262" s="64" t="s">
        <v>1082</v>
      </c>
      <c r="E262" s="57">
        <v>20</v>
      </c>
      <c r="F262" s="52">
        <v>0.978</v>
      </c>
      <c r="G262" s="57">
        <v>0.943</v>
      </c>
      <c r="H262" s="58">
        <f t="shared" si="16"/>
        <v>0.94866</v>
      </c>
      <c r="I262" s="52">
        <v>14</v>
      </c>
      <c r="J262" s="52">
        <v>0.998</v>
      </c>
      <c r="K262" s="79">
        <v>1191</v>
      </c>
      <c r="L262" s="79">
        <v>773</v>
      </c>
      <c r="M262" s="57">
        <v>0</v>
      </c>
      <c r="N262" s="57">
        <v>0</v>
      </c>
      <c r="O262" s="57">
        <v>0</v>
      </c>
      <c r="P262" s="57">
        <v>0</v>
      </c>
      <c r="Q262" s="57">
        <v>0</v>
      </c>
      <c r="R262" s="57">
        <v>0.4424</v>
      </c>
      <c r="S262" s="57"/>
      <c r="T262" s="57"/>
      <c r="U262" s="57">
        <v>0.8271</v>
      </c>
      <c r="V262" s="57"/>
      <c r="W262" s="57">
        <f t="shared" si="17"/>
        <v>0.8271</v>
      </c>
      <c r="X262" s="57"/>
      <c r="Y262" s="57"/>
      <c r="Z262" s="57">
        <v>0.6357</v>
      </c>
      <c r="AA262" s="57"/>
      <c r="AB262" s="57">
        <f t="shared" si="18"/>
        <v>0.6357</v>
      </c>
      <c r="AC262" s="57">
        <v>0.5233</v>
      </c>
      <c r="AD262" s="57"/>
      <c r="AE262" s="57"/>
      <c r="AF262" s="73"/>
      <c r="AG262" s="58">
        <f t="shared" si="19"/>
        <v>0</v>
      </c>
      <c r="AH262" s="73"/>
    </row>
    <row r="263" ht="14.25" spans="1:34">
      <c r="A263" s="52">
        <v>261</v>
      </c>
      <c r="B263" s="61" t="s">
        <v>1057</v>
      </c>
      <c r="C263" s="62" t="s">
        <v>492</v>
      </c>
      <c r="D263" s="64" t="s">
        <v>1083</v>
      </c>
      <c r="E263" s="57">
        <v>17</v>
      </c>
      <c r="F263" s="52">
        <v>1.105</v>
      </c>
      <c r="G263" s="57">
        <v>1.137</v>
      </c>
      <c r="H263" s="58">
        <f t="shared" si="16"/>
        <v>1.07185</v>
      </c>
      <c r="I263" s="52">
        <v>14</v>
      </c>
      <c r="J263" s="52">
        <v>1.059</v>
      </c>
      <c r="K263" s="79">
        <v>1402</v>
      </c>
      <c r="L263" s="79">
        <v>893</v>
      </c>
      <c r="M263" s="57">
        <v>0</v>
      </c>
      <c r="N263" s="57">
        <v>0</v>
      </c>
      <c r="O263" s="57">
        <v>0</v>
      </c>
      <c r="P263" s="57">
        <v>0</v>
      </c>
      <c r="Q263" s="57">
        <v>0</v>
      </c>
      <c r="R263" s="57">
        <v>0.4424</v>
      </c>
      <c r="S263" s="57"/>
      <c r="T263" s="57"/>
      <c r="U263" s="57">
        <v>0.8271</v>
      </c>
      <c r="V263" s="57"/>
      <c r="W263" s="57">
        <f t="shared" si="17"/>
        <v>0.8271</v>
      </c>
      <c r="X263" s="57"/>
      <c r="Y263" s="57"/>
      <c r="Z263" s="57">
        <v>0.6357</v>
      </c>
      <c r="AA263" s="57"/>
      <c r="AB263" s="57">
        <f t="shared" si="18"/>
        <v>0.6357</v>
      </c>
      <c r="AC263" s="57">
        <v>0.5233</v>
      </c>
      <c r="AD263" s="57"/>
      <c r="AE263" s="57"/>
      <c r="AF263" s="73"/>
      <c r="AG263" s="58">
        <f t="shared" si="19"/>
        <v>0</v>
      </c>
      <c r="AH263" s="73"/>
    </row>
    <row r="264" ht="14.25" spans="1:34">
      <c r="A264" s="52">
        <v>262</v>
      </c>
      <c r="B264" s="61" t="s">
        <v>1057</v>
      </c>
      <c r="C264" s="62" t="s">
        <v>492</v>
      </c>
      <c r="D264" s="64" t="s">
        <v>1084</v>
      </c>
      <c r="E264" s="57">
        <v>20</v>
      </c>
      <c r="F264" s="52">
        <v>1.002</v>
      </c>
      <c r="G264" s="57">
        <v>0.963</v>
      </c>
      <c r="H264" s="58">
        <f t="shared" si="16"/>
        <v>0.97194</v>
      </c>
      <c r="I264" s="52">
        <v>17</v>
      </c>
      <c r="J264" s="52">
        <v>1.02</v>
      </c>
      <c r="K264" s="79">
        <v>1218</v>
      </c>
      <c r="L264" s="79">
        <v>805</v>
      </c>
      <c r="M264" s="57">
        <v>0</v>
      </c>
      <c r="N264" s="57">
        <v>0</v>
      </c>
      <c r="O264" s="57">
        <v>0</v>
      </c>
      <c r="P264" s="57">
        <v>0</v>
      </c>
      <c r="Q264" s="57">
        <v>0</v>
      </c>
      <c r="R264" s="57">
        <v>0.4424</v>
      </c>
      <c r="S264" s="57"/>
      <c r="T264" s="57"/>
      <c r="U264" s="57">
        <v>0.8271</v>
      </c>
      <c r="V264" s="57"/>
      <c r="W264" s="57">
        <f t="shared" si="17"/>
        <v>0.8271</v>
      </c>
      <c r="X264" s="57"/>
      <c r="Y264" s="57"/>
      <c r="Z264" s="57">
        <v>0.6357</v>
      </c>
      <c r="AA264" s="57"/>
      <c r="AB264" s="57">
        <f t="shared" si="18"/>
        <v>0.6357</v>
      </c>
      <c r="AC264" s="57">
        <v>0.5233</v>
      </c>
      <c r="AD264" s="57"/>
      <c r="AE264" s="57"/>
      <c r="AF264" s="73"/>
      <c r="AG264" s="58">
        <f t="shared" si="19"/>
        <v>0</v>
      </c>
      <c r="AH264" s="73"/>
    </row>
    <row r="265" ht="14.25" spans="1:34">
      <c r="A265" s="52">
        <v>263</v>
      </c>
      <c r="B265" s="61" t="s">
        <v>1057</v>
      </c>
      <c r="C265" s="62" t="s">
        <v>492</v>
      </c>
      <c r="D265" s="64" t="s">
        <v>1085</v>
      </c>
      <c r="E265" s="57">
        <v>18</v>
      </c>
      <c r="F265" s="52">
        <v>1.007</v>
      </c>
      <c r="G265" s="57">
        <v>0.976</v>
      </c>
      <c r="H265" s="58">
        <f t="shared" si="16"/>
        <v>0.97679</v>
      </c>
      <c r="I265" s="52">
        <v>14</v>
      </c>
      <c r="J265" s="52">
        <v>1.024</v>
      </c>
      <c r="K265" s="79">
        <v>1231</v>
      </c>
      <c r="L265" s="79">
        <v>835</v>
      </c>
      <c r="M265" s="57">
        <v>0</v>
      </c>
      <c r="N265" s="57">
        <v>0</v>
      </c>
      <c r="O265" s="57">
        <v>0</v>
      </c>
      <c r="P265" s="57">
        <v>0</v>
      </c>
      <c r="Q265" s="57">
        <v>0</v>
      </c>
      <c r="R265" s="57">
        <v>0.4424</v>
      </c>
      <c r="S265" s="57"/>
      <c r="T265" s="57"/>
      <c r="U265" s="57">
        <v>0.8271</v>
      </c>
      <c r="V265" s="57"/>
      <c r="W265" s="57">
        <f t="shared" si="17"/>
        <v>0.8271</v>
      </c>
      <c r="X265" s="57"/>
      <c r="Y265" s="57"/>
      <c r="Z265" s="57">
        <v>0.6357</v>
      </c>
      <c r="AA265" s="57"/>
      <c r="AB265" s="57">
        <f t="shared" si="18"/>
        <v>0.6357</v>
      </c>
      <c r="AC265" s="57">
        <v>0.5233</v>
      </c>
      <c r="AD265" s="57"/>
      <c r="AE265" s="57"/>
      <c r="AF265" s="73"/>
      <c r="AG265" s="58">
        <f t="shared" si="19"/>
        <v>0</v>
      </c>
      <c r="AH265" s="73"/>
    </row>
    <row r="266" ht="14.25" spans="1:34">
      <c r="A266" s="52">
        <v>264</v>
      </c>
      <c r="B266" s="61" t="s">
        <v>1057</v>
      </c>
      <c r="C266" s="62" t="s">
        <v>492</v>
      </c>
      <c r="D266" s="64" t="s">
        <v>1086</v>
      </c>
      <c r="E266" s="57">
        <v>17</v>
      </c>
      <c r="F266" s="52">
        <v>1.026</v>
      </c>
      <c r="G266" s="57">
        <v>0.998</v>
      </c>
      <c r="H266" s="58">
        <f t="shared" si="16"/>
        <v>0.99522</v>
      </c>
      <c r="I266" s="52">
        <v>14</v>
      </c>
      <c r="J266" s="52">
        <v>1.078</v>
      </c>
      <c r="K266" s="79">
        <v>1266</v>
      </c>
      <c r="L266" s="79">
        <v>831</v>
      </c>
      <c r="M266" s="57">
        <v>0</v>
      </c>
      <c r="N266" s="57">
        <v>0</v>
      </c>
      <c r="O266" s="57">
        <v>0</v>
      </c>
      <c r="P266" s="57">
        <v>0</v>
      </c>
      <c r="Q266" s="57">
        <v>0</v>
      </c>
      <c r="R266" s="57">
        <v>0.4424</v>
      </c>
      <c r="S266" s="57"/>
      <c r="T266" s="57"/>
      <c r="U266" s="57">
        <v>0.8271</v>
      </c>
      <c r="V266" s="57"/>
      <c r="W266" s="57">
        <f t="shared" si="17"/>
        <v>0.8271</v>
      </c>
      <c r="X266" s="57"/>
      <c r="Y266" s="57"/>
      <c r="Z266" s="57">
        <v>0.6357</v>
      </c>
      <c r="AA266" s="57"/>
      <c r="AB266" s="57">
        <f t="shared" si="18"/>
        <v>0.6357</v>
      </c>
      <c r="AC266" s="57">
        <v>0.5233</v>
      </c>
      <c r="AD266" s="57"/>
      <c r="AE266" s="57"/>
      <c r="AF266" s="73"/>
      <c r="AG266" s="58">
        <f t="shared" si="19"/>
        <v>0</v>
      </c>
      <c r="AH266" s="73"/>
    </row>
    <row r="267" ht="14.25" spans="1:34">
      <c r="A267" s="52">
        <v>265</v>
      </c>
      <c r="B267" s="61" t="s">
        <v>1057</v>
      </c>
      <c r="C267" s="62" t="s">
        <v>492</v>
      </c>
      <c r="D267" s="64" t="s">
        <v>1087</v>
      </c>
      <c r="E267" s="57">
        <v>17</v>
      </c>
      <c r="F267" s="52">
        <v>1.008</v>
      </c>
      <c r="G267" s="57">
        <v>0.978</v>
      </c>
      <c r="H267" s="58">
        <f t="shared" si="16"/>
        <v>0.97776</v>
      </c>
      <c r="I267" s="52">
        <v>15</v>
      </c>
      <c r="J267" s="52">
        <v>1.042</v>
      </c>
      <c r="K267" s="79">
        <v>1236</v>
      </c>
      <c r="L267" s="79">
        <v>853</v>
      </c>
      <c r="M267" s="57">
        <v>0</v>
      </c>
      <c r="N267" s="57">
        <v>0</v>
      </c>
      <c r="O267" s="57">
        <v>0</v>
      </c>
      <c r="P267" s="57">
        <v>0</v>
      </c>
      <c r="Q267" s="57">
        <v>0</v>
      </c>
      <c r="R267" s="57">
        <v>0.4424</v>
      </c>
      <c r="S267" s="57"/>
      <c r="T267" s="57"/>
      <c r="U267" s="57">
        <v>0.8271</v>
      </c>
      <c r="V267" s="57"/>
      <c r="W267" s="57">
        <f t="shared" si="17"/>
        <v>0.8271</v>
      </c>
      <c r="X267" s="57"/>
      <c r="Y267" s="57"/>
      <c r="Z267" s="57">
        <v>0.6357</v>
      </c>
      <c r="AA267" s="57"/>
      <c r="AB267" s="57">
        <f t="shared" si="18"/>
        <v>0.6357</v>
      </c>
      <c r="AC267" s="57">
        <v>0.5233</v>
      </c>
      <c r="AD267" s="57"/>
      <c r="AE267" s="57"/>
      <c r="AF267" s="73"/>
      <c r="AG267" s="58">
        <f t="shared" si="19"/>
        <v>0</v>
      </c>
      <c r="AH267" s="73"/>
    </row>
    <row r="268" ht="14.25" spans="1:34">
      <c r="A268" s="52">
        <v>266</v>
      </c>
      <c r="B268" s="61" t="s">
        <v>1057</v>
      </c>
      <c r="C268" s="62" t="s">
        <v>1088</v>
      </c>
      <c r="D268" s="65" t="s">
        <v>1089</v>
      </c>
      <c r="E268" s="57">
        <v>15</v>
      </c>
      <c r="F268" s="63">
        <v>1.291</v>
      </c>
      <c r="G268" s="57">
        <v>1.263</v>
      </c>
      <c r="H268" s="58">
        <f t="shared" si="16"/>
        <v>1.25227</v>
      </c>
      <c r="I268" s="52">
        <v>10</v>
      </c>
      <c r="J268" s="52">
        <v>1.25</v>
      </c>
      <c r="K268" s="79">
        <v>1608</v>
      </c>
      <c r="L268" s="79">
        <v>898</v>
      </c>
      <c r="M268" s="57">
        <v>0</v>
      </c>
      <c r="N268" s="57">
        <v>0</v>
      </c>
      <c r="O268" s="57">
        <v>0</v>
      </c>
      <c r="P268" s="57">
        <v>0</v>
      </c>
      <c r="Q268" s="57">
        <v>0</v>
      </c>
      <c r="R268" s="57">
        <v>0.4528</v>
      </c>
      <c r="S268" s="57"/>
      <c r="T268" s="57">
        <v>1.078</v>
      </c>
      <c r="U268" s="57">
        <v>0.67</v>
      </c>
      <c r="V268" s="57">
        <v>0.356</v>
      </c>
      <c r="W268" s="57">
        <f t="shared" si="17"/>
        <v>0.8332</v>
      </c>
      <c r="X268" s="57"/>
      <c r="Y268" s="57"/>
      <c r="Z268" s="57"/>
      <c r="AA268" s="57"/>
      <c r="AB268" s="57">
        <f t="shared" si="18"/>
        <v>0</v>
      </c>
      <c r="AC268" s="57">
        <v>0.5883</v>
      </c>
      <c r="AD268" s="57"/>
      <c r="AE268" s="57"/>
      <c r="AF268" s="58">
        <v>0.71</v>
      </c>
      <c r="AG268" s="58">
        <f t="shared" si="19"/>
        <v>0.85213634181469</v>
      </c>
      <c r="AH268" s="58">
        <v>0.66</v>
      </c>
    </row>
    <row r="269" ht="14.25" spans="1:34">
      <c r="A269" s="52">
        <v>267</v>
      </c>
      <c r="B269" s="61" t="s">
        <v>1057</v>
      </c>
      <c r="C269" s="62" t="s">
        <v>1088</v>
      </c>
      <c r="D269" s="64" t="s">
        <v>622</v>
      </c>
      <c r="E269" s="57">
        <v>18</v>
      </c>
      <c r="F269" s="52">
        <v>1.371</v>
      </c>
      <c r="G269" s="57">
        <v>1.33</v>
      </c>
      <c r="H269" s="58">
        <f t="shared" ref="H269:H332" si="20">F269*0.97</f>
        <v>1.32987</v>
      </c>
      <c r="I269" s="52">
        <v>15</v>
      </c>
      <c r="J269" s="52">
        <v>1.371</v>
      </c>
      <c r="K269" s="79">
        <v>1706</v>
      </c>
      <c r="L269" s="79">
        <v>906</v>
      </c>
      <c r="M269" s="57">
        <v>0</v>
      </c>
      <c r="N269" s="57">
        <v>0</v>
      </c>
      <c r="O269" s="57">
        <v>0</v>
      </c>
      <c r="P269" s="57">
        <v>0</v>
      </c>
      <c r="Q269" s="57">
        <v>0</v>
      </c>
      <c r="R269" s="57">
        <v>0.4528</v>
      </c>
      <c r="S269" s="57"/>
      <c r="T269" s="57">
        <v>1.078</v>
      </c>
      <c r="U269" s="57">
        <v>0.67</v>
      </c>
      <c r="V269" s="57">
        <v>0.356</v>
      </c>
      <c r="W269" s="57">
        <f t="shared" si="17"/>
        <v>0.8332</v>
      </c>
      <c r="X269" s="57"/>
      <c r="Y269" s="57"/>
      <c r="Z269" s="57"/>
      <c r="AA269" s="57"/>
      <c r="AB269" s="57">
        <f t="shared" si="18"/>
        <v>0</v>
      </c>
      <c r="AC269" s="57">
        <v>0.5883</v>
      </c>
      <c r="AD269" s="57"/>
      <c r="AE269" s="57"/>
      <c r="AF269" s="73"/>
      <c r="AG269" s="58">
        <f t="shared" si="19"/>
        <v>0</v>
      </c>
      <c r="AH269" s="73"/>
    </row>
    <row r="270" ht="14.25" spans="1:34">
      <c r="A270" s="52">
        <v>268</v>
      </c>
      <c r="B270" s="61" t="s">
        <v>1057</v>
      </c>
      <c r="C270" s="62" t="s">
        <v>1088</v>
      </c>
      <c r="D270" s="64" t="s">
        <v>1090</v>
      </c>
      <c r="E270" s="57">
        <v>17</v>
      </c>
      <c r="F270" s="52">
        <v>1.334</v>
      </c>
      <c r="G270" s="57">
        <v>1.302</v>
      </c>
      <c r="H270" s="58">
        <f t="shared" si="20"/>
        <v>1.29398</v>
      </c>
      <c r="I270" s="52">
        <v>12</v>
      </c>
      <c r="J270" s="52">
        <v>1.358</v>
      </c>
      <c r="K270" s="79">
        <v>1623</v>
      </c>
      <c r="L270" s="79">
        <v>902</v>
      </c>
      <c r="M270" s="57">
        <v>0</v>
      </c>
      <c r="N270" s="57">
        <v>0</v>
      </c>
      <c r="O270" s="57">
        <v>0</v>
      </c>
      <c r="P270" s="57">
        <v>0</v>
      </c>
      <c r="Q270" s="57">
        <v>0</v>
      </c>
      <c r="R270" s="57">
        <v>0.4528</v>
      </c>
      <c r="S270" s="57"/>
      <c r="T270" s="57">
        <v>1.078</v>
      </c>
      <c r="U270" s="57">
        <v>0.67</v>
      </c>
      <c r="V270" s="57">
        <v>0.356</v>
      </c>
      <c r="W270" s="57">
        <f t="shared" si="17"/>
        <v>0.8332</v>
      </c>
      <c r="X270" s="57"/>
      <c r="Y270" s="57"/>
      <c r="Z270" s="57"/>
      <c r="AA270" s="57"/>
      <c r="AB270" s="57">
        <f t="shared" si="18"/>
        <v>0</v>
      </c>
      <c r="AC270" s="57">
        <v>0.5883</v>
      </c>
      <c r="AD270" s="57"/>
      <c r="AE270" s="57"/>
      <c r="AF270" s="73"/>
      <c r="AG270" s="58">
        <f t="shared" si="19"/>
        <v>0</v>
      </c>
      <c r="AH270" s="73"/>
    </row>
    <row r="271" ht="14.25" spans="1:34">
      <c r="A271" s="52">
        <v>269</v>
      </c>
      <c r="B271" s="61" t="s">
        <v>1057</v>
      </c>
      <c r="C271" s="62" t="s">
        <v>1088</v>
      </c>
      <c r="D271" s="64" t="s">
        <v>1091</v>
      </c>
      <c r="E271" s="57">
        <v>17</v>
      </c>
      <c r="F271" s="52">
        <v>1.334</v>
      </c>
      <c r="G271" s="57">
        <v>1.302</v>
      </c>
      <c r="H271" s="58">
        <f t="shared" si="20"/>
        <v>1.29398</v>
      </c>
      <c r="I271" s="52">
        <v>15</v>
      </c>
      <c r="J271" s="52">
        <v>1.374</v>
      </c>
      <c r="K271" s="79">
        <v>1644</v>
      </c>
      <c r="L271" s="79">
        <v>872</v>
      </c>
      <c r="M271" s="57">
        <v>0</v>
      </c>
      <c r="N271" s="57">
        <v>0</v>
      </c>
      <c r="O271" s="57">
        <v>0</v>
      </c>
      <c r="P271" s="57">
        <v>0</v>
      </c>
      <c r="Q271" s="57">
        <v>0</v>
      </c>
      <c r="R271" s="57">
        <v>0.4528</v>
      </c>
      <c r="S271" s="57"/>
      <c r="T271" s="57">
        <v>1.078</v>
      </c>
      <c r="U271" s="57">
        <v>0.67</v>
      </c>
      <c r="V271" s="57">
        <v>0.356</v>
      </c>
      <c r="W271" s="57">
        <f t="shared" si="17"/>
        <v>0.8332</v>
      </c>
      <c r="X271" s="57"/>
      <c r="Y271" s="57"/>
      <c r="Z271" s="57"/>
      <c r="AA271" s="57"/>
      <c r="AB271" s="57">
        <f t="shared" si="18"/>
        <v>0</v>
      </c>
      <c r="AC271" s="57">
        <v>0.5883</v>
      </c>
      <c r="AD271" s="57"/>
      <c r="AE271" s="57"/>
      <c r="AF271" s="73"/>
      <c r="AG271" s="58">
        <f t="shared" si="19"/>
        <v>0</v>
      </c>
      <c r="AH271" s="73"/>
    </row>
    <row r="272" ht="14.25" spans="1:34">
      <c r="A272" s="52">
        <v>270</v>
      </c>
      <c r="B272" s="61" t="s">
        <v>1057</v>
      </c>
      <c r="C272" s="62" t="s">
        <v>1088</v>
      </c>
      <c r="D272" s="64" t="s">
        <v>1092</v>
      </c>
      <c r="E272" s="57">
        <v>17</v>
      </c>
      <c r="F272" s="52">
        <v>1.34</v>
      </c>
      <c r="G272" s="57">
        <v>1.303</v>
      </c>
      <c r="H272" s="58">
        <f t="shared" si="20"/>
        <v>1.2998</v>
      </c>
      <c r="I272" s="52">
        <v>15</v>
      </c>
      <c r="J272" s="52">
        <v>1.368</v>
      </c>
      <c r="K272" s="79">
        <v>1660</v>
      </c>
      <c r="L272" s="79">
        <v>856</v>
      </c>
      <c r="M272" s="57">
        <v>0</v>
      </c>
      <c r="N272" s="57">
        <v>0</v>
      </c>
      <c r="O272" s="57">
        <v>0</v>
      </c>
      <c r="P272" s="57">
        <v>0</v>
      </c>
      <c r="Q272" s="57">
        <v>0</v>
      </c>
      <c r="R272" s="57">
        <v>0.4528</v>
      </c>
      <c r="S272" s="57"/>
      <c r="T272" s="57">
        <v>1.078</v>
      </c>
      <c r="U272" s="57">
        <v>0.67</v>
      </c>
      <c r="V272" s="57">
        <v>0.356</v>
      </c>
      <c r="W272" s="57">
        <f t="shared" si="17"/>
        <v>0.8332</v>
      </c>
      <c r="X272" s="57"/>
      <c r="Y272" s="57"/>
      <c r="Z272" s="57"/>
      <c r="AA272" s="57"/>
      <c r="AB272" s="57">
        <f t="shared" si="18"/>
        <v>0</v>
      </c>
      <c r="AC272" s="57">
        <v>0.5883</v>
      </c>
      <c r="AD272" s="57"/>
      <c r="AE272" s="57"/>
      <c r="AF272" s="73"/>
      <c r="AG272" s="58">
        <f t="shared" si="19"/>
        <v>0</v>
      </c>
      <c r="AH272" s="73"/>
    </row>
    <row r="273" ht="14.25" spans="1:34">
      <c r="A273" s="52">
        <v>271</v>
      </c>
      <c r="B273" s="61" t="s">
        <v>1057</v>
      </c>
      <c r="C273" s="62" t="s">
        <v>1088</v>
      </c>
      <c r="D273" s="64" t="s">
        <v>1093</v>
      </c>
      <c r="E273" s="57">
        <v>15</v>
      </c>
      <c r="F273" s="52">
        <v>1.265</v>
      </c>
      <c r="G273" s="57">
        <v>1.237</v>
      </c>
      <c r="H273" s="58">
        <f t="shared" si="20"/>
        <v>1.22705</v>
      </c>
      <c r="I273" s="52">
        <v>13</v>
      </c>
      <c r="J273" s="52">
        <v>1.314</v>
      </c>
      <c r="K273" s="79">
        <v>1642</v>
      </c>
      <c r="L273" s="79">
        <v>912</v>
      </c>
      <c r="M273" s="57">
        <v>0</v>
      </c>
      <c r="N273" s="57">
        <v>0</v>
      </c>
      <c r="O273" s="57">
        <v>0</v>
      </c>
      <c r="P273" s="57">
        <v>0</v>
      </c>
      <c r="Q273" s="57">
        <v>0</v>
      </c>
      <c r="R273" s="57">
        <v>0.4528</v>
      </c>
      <c r="S273" s="57"/>
      <c r="T273" s="57">
        <v>1.078</v>
      </c>
      <c r="U273" s="57">
        <v>0.67</v>
      </c>
      <c r="V273" s="57">
        <v>0.356</v>
      </c>
      <c r="W273" s="57">
        <f t="shared" si="17"/>
        <v>0.8332</v>
      </c>
      <c r="X273" s="57"/>
      <c r="Y273" s="57"/>
      <c r="Z273" s="57"/>
      <c r="AA273" s="57"/>
      <c r="AB273" s="57">
        <f t="shared" si="18"/>
        <v>0</v>
      </c>
      <c r="AC273" s="57">
        <v>0.5883</v>
      </c>
      <c r="AD273" s="57"/>
      <c r="AE273" s="57"/>
      <c r="AF273" s="73"/>
      <c r="AG273" s="58">
        <f t="shared" si="19"/>
        <v>0</v>
      </c>
      <c r="AH273" s="73"/>
    </row>
    <row r="274" ht="14.25" spans="1:34">
      <c r="A274" s="52">
        <v>272</v>
      </c>
      <c r="B274" s="61" t="s">
        <v>1057</v>
      </c>
      <c r="C274" s="62" t="s">
        <v>1088</v>
      </c>
      <c r="D274" s="64" t="s">
        <v>1094</v>
      </c>
      <c r="E274" s="57">
        <v>15</v>
      </c>
      <c r="F274" s="52">
        <v>1.265</v>
      </c>
      <c r="G274" s="57">
        <v>1.237</v>
      </c>
      <c r="H274" s="58">
        <f t="shared" si="20"/>
        <v>1.22705</v>
      </c>
      <c r="I274" s="52">
        <v>13</v>
      </c>
      <c r="J274" s="52">
        <v>1.313</v>
      </c>
      <c r="K274" s="79">
        <v>1577</v>
      </c>
      <c r="L274" s="79">
        <v>868</v>
      </c>
      <c r="M274" s="57">
        <v>0</v>
      </c>
      <c r="N274" s="57">
        <v>0</v>
      </c>
      <c r="O274" s="57">
        <v>0</v>
      </c>
      <c r="P274" s="57">
        <v>0</v>
      </c>
      <c r="Q274" s="57">
        <v>0</v>
      </c>
      <c r="R274" s="57">
        <v>0.4528</v>
      </c>
      <c r="S274" s="57"/>
      <c r="T274" s="57">
        <v>1.078</v>
      </c>
      <c r="U274" s="57">
        <v>0.67</v>
      </c>
      <c r="V274" s="57">
        <v>0.356</v>
      </c>
      <c r="W274" s="57">
        <f t="shared" si="17"/>
        <v>0.8332</v>
      </c>
      <c r="X274" s="57"/>
      <c r="Y274" s="57"/>
      <c r="Z274" s="57"/>
      <c r="AA274" s="57"/>
      <c r="AB274" s="57">
        <f t="shared" si="18"/>
        <v>0</v>
      </c>
      <c r="AC274" s="57">
        <v>0.5883</v>
      </c>
      <c r="AD274" s="57"/>
      <c r="AE274" s="57"/>
      <c r="AF274" s="73"/>
      <c r="AG274" s="58">
        <f t="shared" si="19"/>
        <v>0</v>
      </c>
      <c r="AH274" s="73"/>
    </row>
    <row r="275" ht="14.25" spans="1:34">
      <c r="A275" s="52">
        <v>273</v>
      </c>
      <c r="B275" s="61" t="s">
        <v>1057</v>
      </c>
      <c r="C275" s="62" t="s">
        <v>1088</v>
      </c>
      <c r="D275" s="64" t="s">
        <v>1095</v>
      </c>
      <c r="E275" s="57">
        <v>15</v>
      </c>
      <c r="F275" s="52">
        <v>1.275</v>
      </c>
      <c r="G275" s="57">
        <v>1.248</v>
      </c>
      <c r="H275" s="58">
        <f t="shared" si="20"/>
        <v>1.23675</v>
      </c>
      <c r="I275" s="52">
        <v>13</v>
      </c>
      <c r="J275" s="52">
        <v>1.294</v>
      </c>
      <c r="K275" s="79">
        <v>1597</v>
      </c>
      <c r="L275" s="79">
        <v>880</v>
      </c>
      <c r="M275" s="57">
        <v>0</v>
      </c>
      <c r="N275" s="57">
        <v>0</v>
      </c>
      <c r="O275" s="57">
        <v>0</v>
      </c>
      <c r="P275" s="57">
        <v>0</v>
      </c>
      <c r="Q275" s="57">
        <v>0</v>
      </c>
      <c r="R275" s="57">
        <v>0.4528</v>
      </c>
      <c r="S275" s="57"/>
      <c r="T275" s="57">
        <v>1.078</v>
      </c>
      <c r="U275" s="57">
        <v>0.67</v>
      </c>
      <c r="V275" s="57">
        <v>0.356</v>
      </c>
      <c r="W275" s="57">
        <f t="shared" si="17"/>
        <v>0.8332</v>
      </c>
      <c r="X275" s="57"/>
      <c r="Y275" s="57"/>
      <c r="Z275" s="57"/>
      <c r="AA275" s="57"/>
      <c r="AB275" s="57">
        <f t="shared" si="18"/>
        <v>0</v>
      </c>
      <c r="AC275" s="57">
        <v>0.5883</v>
      </c>
      <c r="AD275" s="57"/>
      <c r="AE275" s="57"/>
      <c r="AF275" s="73"/>
      <c r="AG275" s="58">
        <f t="shared" si="19"/>
        <v>0</v>
      </c>
      <c r="AH275" s="73"/>
    </row>
    <row r="276" ht="14.25" spans="1:34">
      <c r="A276" s="52">
        <v>274</v>
      </c>
      <c r="B276" s="61" t="s">
        <v>1057</v>
      </c>
      <c r="C276" s="62" t="s">
        <v>1088</v>
      </c>
      <c r="D276" s="64" t="s">
        <v>1096</v>
      </c>
      <c r="E276" s="57">
        <v>25</v>
      </c>
      <c r="F276" s="52">
        <v>1.238</v>
      </c>
      <c r="G276" s="57">
        <v>1.214</v>
      </c>
      <c r="H276" s="58">
        <f t="shared" si="20"/>
        <v>1.20086</v>
      </c>
      <c r="I276" s="52">
        <v>10</v>
      </c>
      <c r="J276" s="52">
        <v>1.246</v>
      </c>
      <c r="K276" s="79">
        <v>1552</v>
      </c>
      <c r="L276" s="79">
        <v>867</v>
      </c>
      <c r="M276" s="57">
        <v>0</v>
      </c>
      <c r="N276" s="57">
        <v>0</v>
      </c>
      <c r="O276" s="57">
        <v>0</v>
      </c>
      <c r="P276" s="57">
        <v>0</v>
      </c>
      <c r="Q276" s="57">
        <v>0</v>
      </c>
      <c r="R276" s="57">
        <v>0.4528</v>
      </c>
      <c r="S276" s="57"/>
      <c r="T276" s="57">
        <v>1.078</v>
      </c>
      <c r="U276" s="57">
        <v>0.67</v>
      </c>
      <c r="V276" s="57">
        <v>0.356</v>
      </c>
      <c r="W276" s="57">
        <f t="shared" ref="W276:W339" si="21">IF(T276="",U276,T276*40%+U276*60%)</f>
        <v>0.8332</v>
      </c>
      <c r="X276" s="57"/>
      <c r="Y276" s="57"/>
      <c r="Z276" s="57"/>
      <c r="AA276" s="57"/>
      <c r="AB276" s="57">
        <f t="shared" si="18"/>
        <v>0</v>
      </c>
      <c r="AC276" s="57">
        <v>0.5883</v>
      </c>
      <c r="AD276" s="57"/>
      <c r="AE276" s="57"/>
      <c r="AF276" s="73"/>
      <c r="AG276" s="58">
        <f t="shared" si="19"/>
        <v>0</v>
      </c>
      <c r="AH276" s="73"/>
    </row>
    <row r="277" ht="14.25" spans="1:34">
      <c r="A277" s="52">
        <v>275</v>
      </c>
      <c r="B277" s="61" t="s">
        <v>1057</v>
      </c>
      <c r="C277" s="62" t="s">
        <v>1088</v>
      </c>
      <c r="D277" s="64" t="s">
        <v>1097</v>
      </c>
      <c r="E277" s="57">
        <v>16</v>
      </c>
      <c r="F277" s="52">
        <v>1.352</v>
      </c>
      <c r="G277" s="57">
        <v>1.312</v>
      </c>
      <c r="H277" s="58">
        <f t="shared" si="20"/>
        <v>1.31144</v>
      </c>
      <c r="I277" s="52">
        <v>14</v>
      </c>
      <c r="J277" s="52">
        <v>1.396</v>
      </c>
      <c r="K277" s="79">
        <v>1672</v>
      </c>
      <c r="L277" s="79">
        <v>910</v>
      </c>
      <c r="M277" s="57">
        <v>0</v>
      </c>
      <c r="N277" s="57">
        <v>0</v>
      </c>
      <c r="O277" s="57">
        <v>0</v>
      </c>
      <c r="P277" s="57">
        <v>0</v>
      </c>
      <c r="Q277" s="57">
        <v>0</v>
      </c>
      <c r="R277" s="57">
        <v>0.4528</v>
      </c>
      <c r="S277" s="57"/>
      <c r="T277" s="57">
        <v>1.078</v>
      </c>
      <c r="U277" s="57">
        <v>0.67</v>
      </c>
      <c r="V277" s="57">
        <v>0.356</v>
      </c>
      <c r="W277" s="57">
        <f t="shared" si="21"/>
        <v>0.8332</v>
      </c>
      <c r="X277" s="57"/>
      <c r="Y277" s="57"/>
      <c r="Z277" s="57"/>
      <c r="AA277" s="57"/>
      <c r="AB277" s="57">
        <f t="shared" si="18"/>
        <v>0</v>
      </c>
      <c r="AC277" s="57">
        <v>0.5883</v>
      </c>
      <c r="AD277" s="57"/>
      <c r="AE277" s="57"/>
      <c r="AF277" s="73"/>
      <c r="AG277" s="58">
        <f t="shared" si="19"/>
        <v>0</v>
      </c>
      <c r="AH277" s="73"/>
    </row>
    <row r="278" ht="14.25" spans="1:34">
      <c r="A278" s="52">
        <v>276</v>
      </c>
      <c r="B278" s="61" t="s">
        <v>1057</v>
      </c>
      <c r="C278" s="62" t="s">
        <v>1088</v>
      </c>
      <c r="D278" s="64" t="s">
        <v>1098</v>
      </c>
      <c r="E278" s="57">
        <v>20</v>
      </c>
      <c r="F278" s="52">
        <v>1.368</v>
      </c>
      <c r="G278" s="57">
        <v>1.32</v>
      </c>
      <c r="H278" s="58">
        <f t="shared" si="20"/>
        <v>1.32696</v>
      </c>
      <c r="I278" s="52">
        <v>16</v>
      </c>
      <c r="J278" s="52">
        <v>1.376</v>
      </c>
      <c r="K278" s="79">
        <v>1686</v>
      </c>
      <c r="L278" s="79">
        <v>878</v>
      </c>
      <c r="M278" s="57">
        <v>0</v>
      </c>
      <c r="N278" s="57">
        <v>0</v>
      </c>
      <c r="O278" s="57">
        <v>0</v>
      </c>
      <c r="P278" s="57">
        <v>0</v>
      </c>
      <c r="Q278" s="57">
        <v>0</v>
      </c>
      <c r="R278" s="57">
        <v>0.4528</v>
      </c>
      <c r="S278" s="57"/>
      <c r="T278" s="57">
        <v>1.078</v>
      </c>
      <c r="U278" s="57">
        <v>0.67</v>
      </c>
      <c r="V278" s="57">
        <v>0.356</v>
      </c>
      <c r="W278" s="57">
        <f t="shared" si="21"/>
        <v>0.8332</v>
      </c>
      <c r="X278" s="57"/>
      <c r="Y278" s="57"/>
      <c r="Z278" s="57"/>
      <c r="AA278" s="57"/>
      <c r="AB278" s="57">
        <f t="shared" si="18"/>
        <v>0</v>
      </c>
      <c r="AC278" s="57">
        <v>0.5883</v>
      </c>
      <c r="AD278" s="57"/>
      <c r="AE278" s="57"/>
      <c r="AF278" s="73"/>
      <c r="AG278" s="58">
        <f t="shared" si="19"/>
        <v>0</v>
      </c>
      <c r="AH278" s="73"/>
    </row>
    <row r="279" ht="14.25" spans="1:34">
      <c r="A279" s="52">
        <v>277</v>
      </c>
      <c r="B279" s="61" t="s">
        <v>1057</v>
      </c>
      <c r="C279" s="62" t="s">
        <v>1088</v>
      </c>
      <c r="D279" s="64" t="s">
        <v>1099</v>
      </c>
      <c r="E279" s="57">
        <v>16</v>
      </c>
      <c r="F279" s="52">
        <v>1.307</v>
      </c>
      <c r="G279" s="57">
        <v>1.274</v>
      </c>
      <c r="H279" s="58">
        <f t="shared" si="20"/>
        <v>1.26779</v>
      </c>
      <c r="I279" s="52">
        <v>12</v>
      </c>
      <c r="J279" s="52">
        <v>1.302</v>
      </c>
      <c r="K279" s="79">
        <v>1621</v>
      </c>
      <c r="L279" s="79">
        <v>888</v>
      </c>
      <c r="M279" s="57">
        <v>0</v>
      </c>
      <c r="N279" s="57">
        <v>0</v>
      </c>
      <c r="O279" s="57">
        <v>0</v>
      </c>
      <c r="P279" s="57">
        <v>0</v>
      </c>
      <c r="Q279" s="57">
        <v>0</v>
      </c>
      <c r="R279" s="57">
        <v>0.4528</v>
      </c>
      <c r="S279" s="57"/>
      <c r="T279" s="57">
        <v>1.078</v>
      </c>
      <c r="U279" s="57">
        <v>0.67</v>
      </c>
      <c r="V279" s="57">
        <v>0.356</v>
      </c>
      <c r="W279" s="57">
        <f t="shared" si="21"/>
        <v>0.8332</v>
      </c>
      <c r="X279" s="57"/>
      <c r="Y279" s="57"/>
      <c r="Z279" s="57"/>
      <c r="AA279" s="57"/>
      <c r="AB279" s="57">
        <f t="shared" si="18"/>
        <v>0</v>
      </c>
      <c r="AC279" s="57">
        <v>0.5883</v>
      </c>
      <c r="AD279" s="57"/>
      <c r="AE279" s="57"/>
      <c r="AF279" s="73"/>
      <c r="AG279" s="58">
        <f t="shared" si="19"/>
        <v>0</v>
      </c>
      <c r="AH279" s="73"/>
    </row>
    <row r="280" ht="14.25" spans="1:34">
      <c r="A280" s="52">
        <v>278</v>
      </c>
      <c r="B280" s="61" t="s">
        <v>1057</v>
      </c>
      <c r="C280" s="62" t="s">
        <v>1088</v>
      </c>
      <c r="D280" s="64" t="s">
        <v>1100</v>
      </c>
      <c r="E280" s="57">
        <v>17</v>
      </c>
      <c r="F280" s="52">
        <v>1.363</v>
      </c>
      <c r="G280" s="57">
        <v>1.326</v>
      </c>
      <c r="H280" s="58">
        <f t="shared" si="20"/>
        <v>1.32211</v>
      </c>
      <c r="I280" s="52">
        <v>15</v>
      </c>
      <c r="J280" s="52">
        <v>1.366</v>
      </c>
      <c r="K280" s="79">
        <v>1688</v>
      </c>
      <c r="L280" s="79">
        <v>897</v>
      </c>
      <c r="M280" s="57">
        <v>0</v>
      </c>
      <c r="N280" s="57">
        <v>0</v>
      </c>
      <c r="O280" s="57">
        <v>0</v>
      </c>
      <c r="P280" s="57">
        <v>0</v>
      </c>
      <c r="Q280" s="57">
        <v>0</v>
      </c>
      <c r="R280" s="57">
        <v>0.4528</v>
      </c>
      <c r="S280" s="57"/>
      <c r="T280" s="57">
        <v>1.078</v>
      </c>
      <c r="U280" s="57">
        <v>0.67</v>
      </c>
      <c r="V280" s="57">
        <v>0.356</v>
      </c>
      <c r="W280" s="57">
        <f t="shared" si="21"/>
        <v>0.8332</v>
      </c>
      <c r="X280" s="57"/>
      <c r="Y280" s="57"/>
      <c r="Z280" s="57"/>
      <c r="AA280" s="57"/>
      <c r="AB280" s="57">
        <f t="shared" si="18"/>
        <v>0</v>
      </c>
      <c r="AC280" s="57">
        <v>0.5883</v>
      </c>
      <c r="AD280" s="57"/>
      <c r="AE280" s="57"/>
      <c r="AF280" s="73"/>
      <c r="AG280" s="58">
        <f t="shared" si="19"/>
        <v>0</v>
      </c>
      <c r="AH280" s="73"/>
    </row>
    <row r="281" ht="14.25" spans="1:34">
      <c r="A281" s="52">
        <v>279</v>
      </c>
      <c r="B281" s="61" t="s">
        <v>1057</v>
      </c>
      <c r="C281" s="62" t="s">
        <v>1088</v>
      </c>
      <c r="D281" s="64" t="s">
        <v>1101</v>
      </c>
      <c r="E281" s="57">
        <v>17</v>
      </c>
      <c r="F281" s="52">
        <v>1.32</v>
      </c>
      <c r="G281" s="57">
        <v>1.287</v>
      </c>
      <c r="H281" s="58">
        <f t="shared" si="20"/>
        <v>1.2804</v>
      </c>
      <c r="I281" s="52">
        <v>13</v>
      </c>
      <c r="J281" s="52">
        <v>1.362</v>
      </c>
      <c r="K281" s="79">
        <v>1633</v>
      </c>
      <c r="L281" s="79">
        <v>842</v>
      </c>
      <c r="M281" s="57">
        <v>0</v>
      </c>
      <c r="N281" s="57">
        <v>0</v>
      </c>
      <c r="O281" s="57">
        <v>0</v>
      </c>
      <c r="P281" s="57">
        <v>0</v>
      </c>
      <c r="Q281" s="57">
        <v>0</v>
      </c>
      <c r="R281" s="57">
        <v>0.4528</v>
      </c>
      <c r="S281" s="57"/>
      <c r="T281" s="57">
        <v>1.078</v>
      </c>
      <c r="U281" s="57">
        <v>0.67</v>
      </c>
      <c r="V281" s="57">
        <v>0.356</v>
      </c>
      <c r="W281" s="57">
        <f t="shared" si="21"/>
        <v>0.8332</v>
      </c>
      <c r="X281" s="57"/>
      <c r="Y281" s="57"/>
      <c r="Z281" s="57"/>
      <c r="AA281" s="57"/>
      <c r="AB281" s="57">
        <f t="shared" si="18"/>
        <v>0</v>
      </c>
      <c r="AC281" s="57">
        <v>0.5883</v>
      </c>
      <c r="AD281" s="57"/>
      <c r="AE281" s="57"/>
      <c r="AF281" s="73"/>
      <c r="AG281" s="58">
        <f t="shared" si="19"/>
        <v>0</v>
      </c>
      <c r="AH281" s="73"/>
    </row>
    <row r="282" ht="14.25" spans="1:34">
      <c r="A282" s="52">
        <v>280</v>
      </c>
      <c r="B282" s="61" t="s">
        <v>1057</v>
      </c>
      <c r="C282" s="62" t="s">
        <v>1088</v>
      </c>
      <c r="D282" s="64" t="s">
        <v>1102</v>
      </c>
      <c r="E282" s="57">
        <v>15</v>
      </c>
      <c r="F282" s="52">
        <v>1.368</v>
      </c>
      <c r="G282" s="57">
        <v>1.332</v>
      </c>
      <c r="H282" s="58">
        <f t="shared" si="20"/>
        <v>1.32696</v>
      </c>
      <c r="I282" s="52">
        <v>13</v>
      </c>
      <c r="J282" s="52">
        <v>1.351</v>
      </c>
      <c r="K282" s="79">
        <v>1571</v>
      </c>
      <c r="L282" s="79">
        <v>869</v>
      </c>
      <c r="M282" s="57">
        <v>0</v>
      </c>
      <c r="N282" s="57">
        <v>0</v>
      </c>
      <c r="O282" s="57">
        <v>0</v>
      </c>
      <c r="P282" s="57">
        <v>0</v>
      </c>
      <c r="Q282" s="57">
        <v>0</v>
      </c>
      <c r="R282" s="57">
        <v>0.4528</v>
      </c>
      <c r="S282" s="57"/>
      <c r="T282" s="57">
        <v>1.078</v>
      </c>
      <c r="U282" s="57">
        <v>0.67</v>
      </c>
      <c r="V282" s="57">
        <v>0.356</v>
      </c>
      <c r="W282" s="57">
        <f t="shared" si="21"/>
        <v>0.8332</v>
      </c>
      <c r="X282" s="57"/>
      <c r="Y282" s="57"/>
      <c r="Z282" s="57"/>
      <c r="AA282" s="57"/>
      <c r="AB282" s="57">
        <f t="shared" si="18"/>
        <v>0</v>
      </c>
      <c r="AC282" s="57">
        <v>0.5883</v>
      </c>
      <c r="AD282" s="57"/>
      <c r="AE282" s="57"/>
      <c r="AF282" s="73"/>
      <c r="AG282" s="58">
        <f t="shared" si="19"/>
        <v>0</v>
      </c>
      <c r="AH282" s="73"/>
    </row>
    <row r="283" ht="14.25" spans="1:34">
      <c r="A283" s="52">
        <v>281</v>
      </c>
      <c r="B283" s="61" t="s">
        <v>1057</v>
      </c>
      <c r="C283" s="62" t="s">
        <v>1088</v>
      </c>
      <c r="D283" s="64" t="s">
        <v>1103</v>
      </c>
      <c r="E283" s="57">
        <v>17</v>
      </c>
      <c r="F283" s="52">
        <v>1.365</v>
      </c>
      <c r="G283" s="57">
        <v>1.329</v>
      </c>
      <c r="H283" s="58">
        <f t="shared" si="20"/>
        <v>1.32405</v>
      </c>
      <c r="I283" s="52">
        <v>13</v>
      </c>
      <c r="J283" s="52">
        <v>1.346</v>
      </c>
      <c r="K283" s="79">
        <v>1689</v>
      </c>
      <c r="L283" s="79">
        <v>888</v>
      </c>
      <c r="M283" s="57">
        <v>0</v>
      </c>
      <c r="N283" s="57">
        <v>0</v>
      </c>
      <c r="O283" s="57">
        <v>0</v>
      </c>
      <c r="P283" s="57">
        <v>0</v>
      </c>
      <c r="Q283" s="57">
        <v>0</v>
      </c>
      <c r="R283" s="57">
        <v>0.4528</v>
      </c>
      <c r="S283" s="57"/>
      <c r="T283" s="57">
        <v>1.078</v>
      </c>
      <c r="U283" s="57">
        <v>0.67</v>
      </c>
      <c r="V283" s="57">
        <v>0.356</v>
      </c>
      <c r="W283" s="57">
        <f t="shared" si="21"/>
        <v>0.8332</v>
      </c>
      <c r="X283" s="57"/>
      <c r="Y283" s="57"/>
      <c r="Z283" s="57"/>
      <c r="AA283" s="57"/>
      <c r="AB283" s="57">
        <f t="shared" si="18"/>
        <v>0</v>
      </c>
      <c r="AC283" s="57">
        <v>0.5883</v>
      </c>
      <c r="AD283" s="57"/>
      <c r="AE283" s="57"/>
      <c r="AF283" s="73"/>
      <c r="AG283" s="58">
        <f t="shared" si="19"/>
        <v>0</v>
      </c>
      <c r="AH283" s="73"/>
    </row>
    <row r="284" ht="14.25" spans="1:34">
      <c r="A284" s="52">
        <v>282</v>
      </c>
      <c r="B284" s="61" t="s">
        <v>1057</v>
      </c>
      <c r="C284" s="62" t="s">
        <v>1088</v>
      </c>
      <c r="D284" s="64" t="s">
        <v>1104</v>
      </c>
      <c r="E284" s="57">
        <v>15</v>
      </c>
      <c r="F284" s="52">
        <v>1.312</v>
      </c>
      <c r="G284" s="57">
        <v>1.284</v>
      </c>
      <c r="H284" s="58">
        <f t="shared" si="20"/>
        <v>1.27264</v>
      </c>
      <c r="I284" s="52">
        <v>10</v>
      </c>
      <c r="J284" s="52">
        <v>1.233</v>
      </c>
      <c r="K284" s="79">
        <v>1643</v>
      </c>
      <c r="L284" s="79">
        <v>907</v>
      </c>
      <c r="M284" s="57">
        <v>0</v>
      </c>
      <c r="N284" s="57">
        <v>0</v>
      </c>
      <c r="O284" s="57">
        <v>0</v>
      </c>
      <c r="P284" s="57">
        <v>0</v>
      </c>
      <c r="Q284" s="57">
        <v>0</v>
      </c>
      <c r="R284" s="57">
        <v>0.4528</v>
      </c>
      <c r="S284" s="57"/>
      <c r="T284" s="57">
        <v>1.078</v>
      </c>
      <c r="U284" s="57">
        <v>0.67</v>
      </c>
      <c r="V284" s="57">
        <v>0.356</v>
      </c>
      <c r="W284" s="57">
        <f t="shared" si="21"/>
        <v>0.8332</v>
      </c>
      <c r="X284" s="57"/>
      <c r="Y284" s="57"/>
      <c r="Z284" s="57"/>
      <c r="AA284" s="57"/>
      <c r="AB284" s="57">
        <f t="shared" si="18"/>
        <v>0</v>
      </c>
      <c r="AC284" s="57">
        <v>0.5883</v>
      </c>
      <c r="AD284" s="57"/>
      <c r="AE284" s="57"/>
      <c r="AF284" s="73"/>
      <c r="AG284" s="58">
        <f t="shared" si="19"/>
        <v>0</v>
      </c>
      <c r="AH284" s="73"/>
    </row>
    <row r="285" ht="14.25" spans="1:34">
      <c r="A285" s="52">
        <v>283</v>
      </c>
      <c r="B285" s="61" t="s">
        <v>1057</v>
      </c>
      <c r="C285" s="62" t="s">
        <v>1088</v>
      </c>
      <c r="D285" s="64" t="s">
        <v>1105</v>
      </c>
      <c r="E285" s="57">
        <v>18</v>
      </c>
      <c r="F285" s="52">
        <v>1.339</v>
      </c>
      <c r="G285" s="57">
        <v>1.301</v>
      </c>
      <c r="H285" s="58">
        <f t="shared" si="20"/>
        <v>1.29883</v>
      </c>
      <c r="I285" s="52">
        <v>15</v>
      </c>
      <c r="J285" s="52">
        <v>1.387</v>
      </c>
      <c r="K285" s="79">
        <v>1637</v>
      </c>
      <c r="L285" s="79">
        <v>864</v>
      </c>
      <c r="M285" s="57">
        <v>0</v>
      </c>
      <c r="N285" s="57">
        <v>0</v>
      </c>
      <c r="O285" s="57">
        <v>0</v>
      </c>
      <c r="P285" s="57">
        <v>0</v>
      </c>
      <c r="Q285" s="57">
        <v>0</v>
      </c>
      <c r="R285" s="57">
        <v>0.4528</v>
      </c>
      <c r="S285" s="57"/>
      <c r="T285" s="57">
        <v>1.078</v>
      </c>
      <c r="U285" s="57">
        <v>0.67</v>
      </c>
      <c r="V285" s="57">
        <v>0.356</v>
      </c>
      <c r="W285" s="57">
        <f t="shared" si="21"/>
        <v>0.8332</v>
      </c>
      <c r="X285" s="57"/>
      <c r="Y285" s="57"/>
      <c r="Z285" s="57"/>
      <c r="AA285" s="57"/>
      <c r="AB285" s="57">
        <f t="shared" si="18"/>
        <v>0</v>
      </c>
      <c r="AC285" s="57">
        <v>0.5883</v>
      </c>
      <c r="AD285" s="57"/>
      <c r="AE285" s="57"/>
      <c r="AF285" s="73"/>
      <c r="AG285" s="58">
        <f t="shared" si="19"/>
        <v>0</v>
      </c>
      <c r="AH285" s="73"/>
    </row>
    <row r="286" ht="14.25" spans="1:34">
      <c r="A286" s="52">
        <v>284</v>
      </c>
      <c r="B286" s="61" t="s">
        <v>1106</v>
      </c>
      <c r="C286" s="62" t="s">
        <v>445</v>
      </c>
      <c r="D286" s="65" t="s">
        <v>583</v>
      </c>
      <c r="E286" s="57">
        <v>25</v>
      </c>
      <c r="F286" s="63">
        <v>1.048</v>
      </c>
      <c r="G286" s="57">
        <v>0.982</v>
      </c>
      <c r="H286" s="58">
        <f t="shared" si="20"/>
        <v>1.01656</v>
      </c>
      <c r="I286" s="52">
        <v>23</v>
      </c>
      <c r="J286" s="52">
        <v>1.07</v>
      </c>
      <c r="K286" s="79">
        <v>1219</v>
      </c>
      <c r="L286" s="79">
        <v>813</v>
      </c>
      <c r="M286" s="57">
        <v>0</v>
      </c>
      <c r="N286" s="57">
        <v>0</v>
      </c>
      <c r="O286" s="57">
        <v>0</v>
      </c>
      <c r="P286" s="57">
        <v>0</v>
      </c>
      <c r="Q286" s="57">
        <v>0</v>
      </c>
      <c r="R286" s="57">
        <v>0.4096</v>
      </c>
      <c r="S286" s="71">
        <v>1.1601</v>
      </c>
      <c r="T286" s="71">
        <v>0.9601</v>
      </c>
      <c r="U286" s="71">
        <v>0.8601</v>
      </c>
      <c r="V286" s="71"/>
      <c r="W286" s="57">
        <f t="shared" si="21"/>
        <v>0.9001</v>
      </c>
      <c r="X286" s="71">
        <v>0.9601</v>
      </c>
      <c r="Y286" s="71">
        <v>0.7601</v>
      </c>
      <c r="Z286" s="71">
        <v>0.6601</v>
      </c>
      <c r="AA286" s="71"/>
      <c r="AB286" s="57">
        <f t="shared" si="18"/>
        <v>0.7001</v>
      </c>
      <c r="AC286" s="71">
        <v>0.5283</v>
      </c>
      <c r="AD286" s="71">
        <v>0.5783</v>
      </c>
      <c r="AE286" s="71">
        <v>0.8283</v>
      </c>
      <c r="AF286" s="58">
        <v>0.93</v>
      </c>
      <c r="AG286" s="58">
        <f t="shared" si="19"/>
        <v>1.0332185312743</v>
      </c>
      <c r="AH286" s="58">
        <v>0.87</v>
      </c>
    </row>
    <row r="287" ht="14.25" spans="1:34">
      <c r="A287" s="52">
        <v>285</v>
      </c>
      <c r="B287" s="61" t="s">
        <v>1106</v>
      </c>
      <c r="C287" s="62" t="s">
        <v>445</v>
      </c>
      <c r="D287" s="64" t="s">
        <v>1107</v>
      </c>
      <c r="E287" s="57">
        <v>30</v>
      </c>
      <c r="F287" s="52">
        <v>1.19</v>
      </c>
      <c r="G287" s="57">
        <v>1.086</v>
      </c>
      <c r="H287" s="58">
        <f t="shared" si="20"/>
        <v>1.1543</v>
      </c>
      <c r="I287" s="52">
        <v>25</v>
      </c>
      <c r="J287" s="52">
        <v>1.139</v>
      </c>
      <c r="K287" s="79">
        <v>1341</v>
      </c>
      <c r="L287" s="79">
        <v>835</v>
      </c>
      <c r="M287" s="57">
        <v>0</v>
      </c>
      <c r="N287" s="57">
        <v>0</v>
      </c>
      <c r="O287" s="57">
        <v>0</v>
      </c>
      <c r="P287" s="57">
        <v>0</v>
      </c>
      <c r="Q287" s="57">
        <v>0</v>
      </c>
      <c r="R287" s="57">
        <v>0.4096</v>
      </c>
      <c r="S287" s="71">
        <v>1.1601</v>
      </c>
      <c r="T287" s="71">
        <v>0.9601</v>
      </c>
      <c r="U287" s="71">
        <v>0.8601</v>
      </c>
      <c r="V287" s="71"/>
      <c r="W287" s="57">
        <f t="shared" si="21"/>
        <v>0.9001</v>
      </c>
      <c r="X287" s="71">
        <v>0.9601</v>
      </c>
      <c r="Y287" s="71">
        <v>0.7601</v>
      </c>
      <c r="Z287" s="71">
        <v>0.6601</v>
      </c>
      <c r="AA287" s="71"/>
      <c r="AB287" s="57">
        <f t="shared" si="18"/>
        <v>0.7001</v>
      </c>
      <c r="AC287" s="71">
        <v>0.5283</v>
      </c>
      <c r="AD287" s="71">
        <v>0.5783</v>
      </c>
      <c r="AE287" s="71">
        <v>0.8283</v>
      </c>
      <c r="AF287" s="73"/>
      <c r="AG287" s="58">
        <f t="shared" si="19"/>
        <v>0</v>
      </c>
      <c r="AH287" s="73"/>
    </row>
    <row r="288" ht="14.25" spans="1:34">
      <c r="A288" s="52">
        <v>286</v>
      </c>
      <c r="B288" s="61" t="s">
        <v>1106</v>
      </c>
      <c r="C288" s="62" t="s">
        <v>445</v>
      </c>
      <c r="D288" s="64" t="s">
        <v>1108</v>
      </c>
      <c r="E288" s="57">
        <v>30</v>
      </c>
      <c r="F288" s="52">
        <v>1.234</v>
      </c>
      <c r="G288" s="57">
        <v>1.11</v>
      </c>
      <c r="H288" s="58">
        <f t="shared" si="20"/>
        <v>1.19698</v>
      </c>
      <c r="I288" s="52">
        <v>26</v>
      </c>
      <c r="J288" s="52">
        <v>1.19</v>
      </c>
      <c r="K288" s="79">
        <v>1362</v>
      </c>
      <c r="L288" s="79">
        <v>796</v>
      </c>
      <c r="M288" s="57">
        <v>0</v>
      </c>
      <c r="N288" s="57">
        <v>0</v>
      </c>
      <c r="O288" s="57">
        <v>0</v>
      </c>
      <c r="P288" s="57">
        <v>0</v>
      </c>
      <c r="Q288" s="57">
        <v>0</v>
      </c>
      <c r="R288" s="57">
        <v>0.4096</v>
      </c>
      <c r="S288" s="71">
        <v>1.1601</v>
      </c>
      <c r="T288" s="71">
        <v>0.9601</v>
      </c>
      <c r="U288" s="71">
        <v>0.8601</v>
      </c>
      <c r="V288" s="71"/>
      <c r="W288" s="57">
        <f t="shared" si="21"/>
        <v>0.9001</v>
      </c>
      <c r="X288" s="71">
        <v>0.9601</v>
      </c>
      <c r="Y288" s="71">
        <v>0.7601</v>
      </c>
      <c r="Z288" s="71">
        <v>0.6601</v>
      </c>
      <c r="AA288" s="71"/>
      <c r="AB288" s="57">
        <f t="shared" si="18"/>
        <v>0.7001</v>
      </c>
      <c r="AC288" s="71">
        <v>0.5283</v>
      </c>
      <c r="AD288" s="71">
        <v>0.5783</v>
      </c>
      <c r="AE288" s="71">
        <v>0.8283</v>
      </c>
      <c r="AF288" s="73"/>
      <c r="AG288" s="58">
        <f t="shared" si="19"/>
        <v>0</v>
      </c>
      <c r="AH288" s="73"/>
    </row>
    <row r="289" ht="14.25" spans="1:34">
      <c r="A289" s="52">
        <v>287</v>
      </c>
      <c r="B289" s="61" t="s">
        <v>1106</v>
      </c>
      <c r="C289" s="62" t="s">
        <v>445</v>
      </c>
      <c r="D289" s="64" t="s">
        <v>1109</v>
      </c>
      <c r="E289" s="57">
        <v>29</v>
      </c>
      <c r="F289" s="52">
        <v>1.213</v>
      </c>
      <c r="G289" s="57">
        <v>1.108</v>
      </c>
      <c r="H289" s="58">
        <f t="shared" si="20"/>
        <v>1.17661</v>
      </c>
      <c r="I289" s="52">
        <v>25</v>
      </c>
      <c r="J289" s="52">
        <v>1.147</v>
      </c>
      <c r="K289" s="79">
        <v>1355</v>
      </c>
      <c r="L289" s="79">
        <v>855</v>
      </c>
      <c r="M289" s="57">
        <v>0</v>
      </c>
      <c r="N289" s="57">
        <v>0</v>
      </c>
      <c r="O289" s="57">
        <v>0</v>
      </c>
      <c r="P289" s="57">
        <v>0</v>
      </c>
      <c r="Q289" s="57">
        <v>0</v>
      </c>
      <c r="R289" s="57">
        <v>0.4096</v>
      </c>
      <c r="S289" s="71">
        <v>1.1601</v>
      </c>
      <c r="T289" s="71">
        <v>0.9601</v>
      </c>
      <c r="U289" s="71">
        <v>0.8601</v>
      </c>
      <c r="V289" s="71"/>
      <c r="W289" s="57">
        <f t="shared" si="21"/>
        <v>0.9001</v>
      </c>
      <c r="X289" s="71">
        <v>0.9601</v>
      </c>
      <c r="Y289" s="71">
        <v>0.7601</v>
      </c>
      <c r="Z289" s="71">
        <v>0.6601</v>
      </c>
      <c r="AA289" s="71"/>
      <c r="AB289" s="57">
        <f t="shared" si="18"/>
        <v>0.7001</v>
      </c>
      <c r="AC289" s="71">
        <v>0.5283</v>
      </c>
      <c r="AD289" s="71">
        <v>0.5783</v>
      </c>
      <c r="AE289" s="71">
        <v>0.8283</v>
      </c>
      <c r="AF289" s="73"/>
      <c r="AG289" s="58">
        <f t="shared" si="19"/>
        <v>0</v>
      </c>
      <c r="AH289" s="73"/>
    </row>
    <row r="290" ht="14.25" spans="1:34">
      <c r="A290" s="52">
        <v>288</v>
      </c>
      <c r="B290" s="61" t="s">
        <v>1106</v>
      </c>
      <c r="C290" s="62" t="s">
        <v>445</v>
      </c>
      <c r="D290" s="64" t="s">
        <v>1110</v>
      </c>
      <c r="E290" s="57">
        <v>28</v>
      </c>
      <c r="F290" s="52">
        <v>1.121</v>
      </c>
      <c r="G290" s="57">
        <v>1.03</v>
      </c>
      <c r="H290" s="58">
        <f t="shared" si="20"/>
        <v>1.08737</v>
      </c>
      <c r="I290" s="52">
        <v>23</v>
      </c>
      <c r="J290" s="52">
        <v>1.097</v>
      </c>
      <c r="K290" s="79">
        <v>1296</v>
      </c>
      <c r="L290" s="79">
        <v>837</v>
      </c>
      <c r="M290" s="57">
        <v>0</v>
      </c>
      <c r="N290" s="57">
        <v>0</v>
      </c>
      <c r="O290" s="57">
        <v>0</v>
      </c>
      <c r="P290" s="57">
        <v>0</v>
      </c>
      <c r="Q290" s="57">
        <v>0</v>
      </c>
      <c r="R290" s="57">
        <v>0.4096</v>
      </c>
      <c r="S290" s="71">
        <v>1.1601</v>
      </c>
      <c r="T290" s="71">
        <v>0.9601</v>
      </c>
      <c r="U290" s="71">
        <v>0.8601</v>
      </c>
      <c r="V290" s="71"/>
      <c r="W290" s="57">
        <f t="shared" si="21"/>
        <v>0.9001</v>
      </c>
      <c r="X290" s="71">
        <v>0.9601</v>
      </c>
      <c r="Y290" s="71">
        <v>0.7601</v>
      </c>
      <c r="Z290" s="71">
        <v>0.6601</v>
      </c>
      <c r="AA290" s="71"/>
      <c r="AB290" s="57">
        <f t="shared" si="18"/>
        <v>0.7001</v>
      </c>
      <c r="AC290" s="71">
        <v>0.5283</v>
      </c>
      <c r="AD290" s="71">
        <v>0.5783</v>
      </c>
      <c r="AE290" s="71">
        <v>0.8283</v>
      </c>
      <c r="AF290" s="73"/>
      <c r="AG290" s="58">
        <f t="shared" si="19"/>
        <v>0</v>
      </c>
      <c r="AH290" s="73"/>
    </row>
    <row r="291" ht="14.25" spans="1:34">
      <c r="A291" s="52">
        <v>289</v>
      </c>
      <c r="B291" s="61" t="s">
        <v>1106</v>
      </c>
      <c r="C291" s="62" t="s">
        <v>445</v>
      </c>
      <c r="D291" s="68" t="s">
        <v>1111</v>
      </c>
      <c r="E291" s="57">
        <v>25</v>
      </c>
      <c r="F291" s="52">
        <v>1.068</v>
      </c>
      <c r="G291" s="57">
        <v>0.998</v>
      </c>
      <c r="H291" s="58">
        <f t="shared" si="20"/>
        <v>1.03596</v>
      </c>
      <c r="I291" s="52">
        <v>23</v>
      </c>
      <c r="J291" s="52">
        <v>1.062</v>
      </c>
      <c r="K291" s="79">
        <v>1233</v>
      </c>
      <c r="L291" s="79">
        <v>815</v>
      </c>
      <c r="M291" s="57">
        <v>0</v>
      </c>
      <c r="N291" s="57">
        <v>0</v>
      </c>
      <c r="O291" s="57">
        <v>0</v>
      </c>
      <c r="P291" s="57">
        <v>0</v>
      </c>
      <c r="Q291" s="57">
        <v>0</v>
      </c>
      <c r="R291" s="57">
        <v>0.4096</v>
      </c>
      <c r="S291" s="71">
        <v>1.1601</v>
      </c>
      <c r="T291" s="71">
        <v>0.9601</v>
      </c>
      <c r="U291" s="71">
        <v>0.8601</v>
      </c>
      <c r="V291" s="71"/>
      <c r="W291" s="57">
        <f t="shared" si="21"/>
        <v>0.9001</v>
      </c>
      <c r="X291" s="71">
        <v>0.9601</v>
      </c>
      <c r="Y291" s="71">
        <v>0.7601</v>
      </c>
      <c r="Z291" s="71">
        <v>0.6601</v>
      </c>
      <c r="AA291" s="71"/>
      <c r="AB291" s="57">
        <f t="shared" si="18"/>
        <v>0.7001</v>
      </c>
      <c r="AC291" s="71">
        <v>0.5283</v>
      </c>
      <c r="AD291" s="71">
        <v>0.5783</v>
      </c>
      <c r="AE291" s="71">
        <v>0.8283</v>
      </c>
      <c r="AF291" s="73"/>
      <c r="AG291" s="58">
        <f t="shared" si="19"/>
        <v>0</v>
      </c>
      <c r="AH291" s="73"/>
    </row>
    <row r="292" ht="14.25" spans="1:34">
      <c r="A292" s="52">
        <v>290</v>
      </c>
      <c r="B292" s="61" t="s">
        <v>1106</v>
      </c>
      <c r="C292" s="62" t="s">
        <v>445</v>
      </c>
      <c r="D292" s="64" t="s">
        <v>1112</v>
      </c>
      <c r="E292" s="57">
        <v>27</v>
      </c>
      <c r="F292" s="52">
        <v>1.192</v>
      </c>
      <c r="G292" s="57">
        <v>1.095</v>
      </c>
      <c r="H292" s="58">
        <f t="shared" si="20"/>
        <v>1.15624</v>
      </c>
      <c r="I292" s="52">
        <v>23</v>
      </c>
      <c r="J292" s="52">
        <v>1.13</v>
      </c>
      <c r="K292" s="79">
        <v>1348</v>
      </c>
      <c r="L292" s="79">
        <v>825</v>
      </c>
      <c r="M292" s="57">
        <v>0</v>
      </c>
      <c r="N292" s="57">
        <v>0</v>
      </c>
      <c r="O292" s="57">
        <v>0</v>
      </c>
      <c r="P292" s="57">
        <v>0</v>
      </c>
      <c r="Q292" s="57">
        <v>0</v>
      </c>
      <c r="R292" s="57">
        <v>0.4096</v>
      </c>
      <c r="S292" s="71">
        <v>1.1601</v>
      </c>
      <c r="T292" s="71">
        <v>0.9601</v>
      </c>
      <c r="U292" s="71">
        <v>0.8601</v>
      </c>
      <c r="V292" s="71"/>
      <c r="W292" s="57">
        <f t="shared" si="21"/>
        <v>0.9001</v>
      </c>
      <c r="X292" s="71">
        <v>0.9601</v>
      </c>
      <c r="Y292" s="71">
        <v>0.7601</v>
      </c>
      <c r="Z292" s="71">
        <v>0.6601</v>
      </c>
      <c r="AA292" s="71"/>
      <c r="AB292" s="57">
        <f t="shared" si="18"/>
        <v>0.7001</v>
      </c>
      <c r="AC292" s="71">
        <v>0.5283</v>
      </c>
      <c r="AD292" s="71">
        <v>0.5783</v>
      </c>
      <c r="AE292" s="71">
        <v>0.8283</v>
      </c>
      <c r="AF292" s="73"/>
      <c r="AG292" s="58">
        <f t="shared" si="19"/>
        <v>0</v>
      </c>
      <c r="AH292" s="73"/>
    </row>
    <row r="293" ht="14.25" spans="1:34">
      <c r="A293" s="52">
        <v>291</v>
      </c>
      <c r="B293" s="61" t="s">
        <v>1106</v>
      </c>
      <c r="C293" s="62" t="s">
        <v>445</v>
      </c>
      <c r="D293" s="64" t="s">
        <v>1113</v>
      </c>
      <c r="E293" s="57">
        <v>28</v>
      </c>
      <c r="F293" s="52">
        <v>1.113</v>
      </c>
      <c r="G293" s="57">
        <v>1.026</v>
      </c>
      <c r="H293" s="58">
        <f t="shared" si="20"/>
        <v>1.07961</v>
      </c>
      <c r="I293" s="52">
        <v>23</v>
      </c>
      <c r="J293" s="52">
        <v>1.076</v>
      </c>
      <c r="K293" s="79">
        <v>1264</v>
      </c>
      <c r="L293" s="79">
        <v>808</v>
      </c>
      <c r="M293" s="57">
        <v>0</v>
      </c>
      <c r="N293" s="57">
        <v>0</v>
      </c>
      <c r="O293" s="57">
        <v>0</v>
      </c>
      <c r="P293" s="57">
        <v>0</v>
      </c>
      <c r="Q293" s="57">
        <v>0</v>
      </c>
      <c r="R293" s="57">
        <v>0.4096</v>
      </c>
      <c r="S293" s="71">
        <v>1.1601</v>
      </c>
      <c r="T293" s="71">
        <v>0.9601</v>
      </c>
      <c r="U293" s="71">
        <v>0.8601</v>
      </c>
      <c r="V293" s="71"/>
      <c r="W293" s="57">
        <f t="shared" si="21"/>
        <v>0.9001</v>
      </c>
      <c r="X293" s="71">
        <v>0.9601</v>
      </c>
      <c r="Y293" s="71">
        <v>0.7601</v>
      </c>
      <c r="Z293" s="71">
        <v>0.6601</v>
      </c>
      <c r="AA293" s="71"/>
      <c r="AB293" s="57">
        <f t="shared" si="18"/>
        <v>0.7001</v>
      </c>
      <c r="AC293" s="71">
        <v>0.5283</v>
      </c>
      <c r="AD293" s="71">
        <v>0.5783</v>
      </c>
      <c r="AE293" s="71">
        <v>0.8283</v>
      </c>
      <c r="AF293" s="73"/>
      <c r="AG293" s="58">
        <f t="shared" si="19"/>
        <v>0</v>
      </c>
      <c r="AH293" s="73"/>
    </row>
    <row r="294" ht="14.25" spans="1:34">
      <c r="A294" s="52">
        <v>292</v>
      </c>
      <c r="B294" s="61" t="s">
        <v>1106</v>
      </c>
      <c r="C294" s="62" t="s">
        <v>445</v>
      </c>
      <c r="D294" s="68" t="s">
        <v>1114</v>
      </c>
      <c r="E294" s="57">
        <v>25</v>
      </c>
      <c r="F294" s="52">
        <v>1.11</v>
      </c>
      <c r="G294" s="57">
        <v>1.035</v>
      </c>
      <c r="H294" s="58">
        <f t="shared" si="20"/>
        <v>1.0767</v>
      </c>
      <c r="I294" s="52">
        <v>23</v>
      </c>
      <c r="J294" s="52">
        <v>1.07</v>
      </c>
      <c r="K294" s="79">
        <v>1279</v>
      </c>
      <c r="L294" s="79">
        <v>856</v>
      </c>
      <c r="M294" s="57">
        <v>0</v>
      </c>
      <c r="N294" s="57">
        <v>0</v>
      </c>
      <c r="O294" s="57">
        <v>0</v>
      </c>
      <c r="P294" s="57">
        <v>0</v>
      </c>
      <c r="Q294" s="57">
        <v>0</v>
      </c>
      <c r="R294" s="57">
        <v>0.4096</v>
      </c>
      <c r="S294" s="71">
        <v>1.1601</v>
      </c>
      <c r="T294" s="71">
        <v>0.9601</v>
      </c>
      <c r="U294" s="71">
        <v>0.8601</v>
      </c>
      <c r="V294" s="71"/>
      <c r="W294" s="57">
        <f t="shared" si="21"/>
        <v>0.9001</v>
      </c>
      <c r="X294" s="71">
        <v>0.9601</v>
      </c>
      <c r="Y294" s="71">
        <v>0.7601</v>
      </c>
      <c r="Z294" s="71">
        <v>0.6601</v>
      </c>
      <c r="AA294" s="71"/>
      <c r="AB294" s="57">
        <f t="shared" si="18"/>
        <v>0.7001</v>
      </c>
      <c r="AC294" s="71">
        <v>0.5283</v>
      </c>
      <c r="AD294" s="71">
        <v>0.5783</v>
      </c>
      <c r="AE294" s="71">
        <v>0.8283</v>
      </c>
      <c r="AF294" s="73"/>
      <c r="AG294" s="58">
        <f t="shared" si="19"/>
        <v>0</v>
      </c>
      <c r="AH294" s="73"/>
    </row>
    <row r="295" ht="14.25" spans="1:34">
      <c r="A295" s="52">
        <v>293</v>
      </c>
      <c r="B295" s="61" t="s">
        <v>1106</v>
      </c>
      <c r="C295" s="62" t="s">
        <v>445</v>
      </c>
      <c r="D295" s="64" t="s">
        <v>1115</v>
      </c>
      <c r="E295" s="57">
        <v>25</v>
      </c>
      <c r="F295" s="52">
        <v>1.114</v>
      </c>
      <c r="G295" s="57">
        <v>1.036</v>
      </c>
      <c r="H295" s="58">
        <f t="shared" si="20"/>
        <v>1.08058</v>
      </c>
      <c r="I295" s="52">
        <v>22</v>
      </c>
      <c r="J295" s="52">
        <v>1.062</v>
      </c>
      <c r="K295" s="79">
        <v>1277</v>
      </c>
      <c r="L295" s="79">
        <v>839</v>
      </c>
      <c r="M295" s="57">
        <v>0</v>
      </c>
      <c r="N295" s="57">
        <v>0</v>
      </c>
      <c r="O295" s="57">
        <v>0</v>
      </c>
      <c r="P295" s="67">
        <v>0.1</v>
      </c>
      <c r="Q295" s="67">
        <v>3</v>
      </c>
      <c r="R295" s="57">
        <v>0.4096</v>
      </c>
      <c r="S295" s="71">
        <v>1.1601</v>
      </c>
      <c r="T295" s="71">
        <v>0.9601</v>
      </c>
      <c r="U295" s="71">
        <v>0.8601</v>
      </c>
      <c r="V295" s="71"/>
      <c r="W295" s="57">
        <f t="shared" si="21"/>
        <v>0.9001</v>
      </c>
      <c r="X295" s="71">
        <v>0.9601</v>
      </c>
      <c r="Y295" s="71">
        <v>0.7601</v>
      </c>
      <c r="Z295" s="71">
        <v>0.6601</v>
      </c>
      <c r="AA295" s="71"/>
      <c r="AB295" s="57">
        <f t="shared" si="18"/>
        <v>0.7001</v>
      </c>
      <c r="AC295" s="71">
        <v>0.5283</v>
      </c>
      <c r="AD295" s="71">
        <v>0.5783</v>
      </c>
      <c r="AE295" s="71">
        <v>0.8283</v>
      </c>
      <c r="AF295" s="58">
        <v>0.86</v>
      </c>
      <c r="AG295" s="58">
        <f t="shared" si="19"/>
        <v>0.955449394511721</v>
      </c>
      <c r="AH295" s="58">
        <v>0.8</v>
      </c>
    </row>
    <row r="296" ht="14.25" spans="1:34">
      <c r="A296" s="52">
        <v>294</v>
      </c>
      <c r="B296" s="61" t="s">
        <v>1106</v>
      </c>
      <c r="C296" s="62" t="s">
        <v>445</v>
      </c>
      <c r="D296" s="68" t="s">
        <v>1116</v>
      </c>
      <c r="E296" s="57">
        <v>25</v>
      </c>
      <c r="F296" s="52">
        <v>1.228</v>
      </c>
      <c r="G296" s="57">
        <v>1.111</v>
      </c>
      <c r="H296" s="58">
        <f t="shared" si="20"/>
        <v>1.19116</v>
      </c>
      <c r="I296" s="52">
        <v>25</v>
      </c>
      <c r="J296" s="52">
        <v>1.148</v>
      </c>
      <c r="K296" s="79">
        <v>1362</v>
      </c>
      <c r="L296" s="79">
        <v>836</v>
      </c>
      <c r="M296" s="57">
        <v>0</v>
      </c>
      <c r="N296" s="57">
        <v>0</v>
      </c>
      <c r="O296" s="57">
        <v>0</v>
      </c>
      <c r="P296" s="57">
        <v>0</v>
      </c>
      <c r="Q296" s="57">
        <v>0</v>
      </c>
      <c r="R296" s="57">
        <v>0.4096</v>
      </c>
      <c r="S296" s="71">
        <v>1.1601</v>
      </c>
      <c r="T296" s="71">
        <v>0.9601</v>
      </c>
      <c r="U296" s="71">
        <v>0.8601</v>
      </c>
      <c r="V296" s="71"/>
      <c r="W296" s="57">
        <f t="shared" si="21"/>
        <v>0.9001</v>
      </c>
      <c r="X296" s="71">
        <v>0.9601</v>
      </c>
      <c r="Y296" s="71">
        <v>0.7601</v>
      </c>
      <c r="Z296" s="71">
        <v>0.6601</v>
      </c>
      <c r="AA296" s="71"/>
      <c r="AB296" s="57">
        <f t="shared" si="18"/>
        <v>0.7001</v>
      </c>
      <c r="AC296" s="71">
        <v>0.5283</v>
      </c>
      <c r="AD296" s="71">
        <v>0.5783</v>
      </c>
      <c r="AE296" s="71">
        <v>0.8283</v>
      </c>
      <c r="AF296" s="73"/>
      <c r="AG296" s="58">
        <f t="shared" si="19"/>
        <v>0</v>
      </c>
      <c r="AH296" s="73"/>
    </row>
    <row r="297" ht="14.25" spans="1:34">
      <c r="A297" s="52">
        <v>295</v>
      </c>
      <c r="B297" s="61" t="s">
        <v>1106</v>
      </c>
      <c r="C297" s="62" t="s">
        <v>445</v>
      </c>
      <c r="D297" s="64" t="s">
        <v>1117</v>
      </c>
      <c r="E297" s="57">
        <v>30</v>
      </c>
      <c r="F297" s="52">
        <v>1.23</v>
      </c>
      <c r="G297" s="57">
        <v>1.11</v>
      </c>
      <c r="H297" s="58">
        <f t="shared" si="20"/>
        <v>1.1931</v>
      </c>
      <c r="I297" s="52">
        <v>25</v>
      </c>
      <c r="J297" s="52">
        <v>1.141</v>
      </c>
      <c r="K297" s="79">
        <v>1359</v>
      </c>
      <c r="L297" s="79">
        <v>825</v>
      </c>
      <c r="M297" s="57">
        <v>0</v>
      </c>
      <c r="N297" s="57">
        <v>0</v>
      </c>
      <c r="O297" s="57">
        <v>0</v>
      </c>
      <c r="P297" s="57">
        <v>0</v>
      </c>
      <c r="Q297" s="57">
        <v>0</v>
      </c>
      <c r="R297" s="57">
        <v>0.4096</v>
      </c>
      <c r="S297" s="71">
        <v>1.1601</v>
      </c>
      <c r="T297" s="71">
        <v>0.9601</v>
      </c>
      <c r="U297" s="71">
        <v>0.8601</v>
      </c>
      <c r="V297" s="71"/>
      <c r="W297" s="57">
        <f t="shared" si="21"/>
        <v>0.9001</v>
      </c>
      <c r="X297" s="71">
        <v>0.9601</v>
      </c>
      <c r="Y297" s="71">
        <v>0.7601</v>
      </c>
      <c r="Z297" s="71">
        <v>0.6601</v>
      </c>
      <c r="AA297" s="71"/>
      <c r="AB297" s="57">
        <f t="shared" si="18"/>
        <v>0.7001</v>
      </c>
      <c r="AC297" s="71">
        <v>0.5283</v>
      </c>
      <c r="AD297" s="71">
        <v>0.5783</v>
      </c>
      <c r="AE297" s="71">
        <v>0.8283</v>
      </c>
      <c r="AF297" s="58">
        <v>0.81</v>
      </c>
      <c r="AG297" s="58">
        <f t="shared" si="19"/>
        <v>0.899900011109877</v>
      </c>
      <c r="AH297" s="58">
        <v>0.76</v>
      </c>
    </row>
    <row r="298" ht="14.25" spans="1:34">
      <c r="A298" s="52">
        <v>296</v>
      </c>
      <c r="B298" s="61" t="s">
        <v>1106</v>
      </c>
      <c r="C298" s="62" t="s">
        <v>445</v>
      </c>
      <c r="D298" s="64" t="s">
        <v>1118</v>
      </c>
      <c r="E298" s="57">
        <v>25</v>
      </c>
      <c r="F298" s="52">
        <v>1.081</v>
      </c>
      <c r="G298" s="57">
        <v>1.007</v>
      </c>
      <c r="H298" s="58">
        <f t="shared" si="20"/>
        <v>1.04857</v>
      </c>
      <c r="I298" s="52">
        <v>22</v>
      </c>
      <c r="J298" s="52">
        <v>1.065</v>
      </c>
      <c r="K298" s="79">
        <v>1243</v>
      </c>
      <c r="L298" s="79">
        <v>834</v>
      </c>
      <c r="M298" s="57">
        <v>0</v>
      </c>
      <c r="N298" s="57">
        <v>0</v>
      </c>
      <c r="O298" s="57">
        <v>0</v>
      </c>
      <c r="P298" s="57">
        <v>0</v>
      </c>
      <c r="Q298" s="57">
        <v>0</v>
      </c>
      <c r="R298" s="57">
        <v>0.4096</v>
      </c>
      <c r="S298" s="71">
        <v>1.1601</v>
      </c>
      <c r="T298" s="71">
        <v>0.9601</v>
      </c>
      <c r="U298" s="71">
        <v>0.8601</v>
      </c>
      <c r="V298" s="71"/>
      <c r="W298" s="57">
        <f t="shared" si="21"/>
        <v>0.9001</v>
      </c>
      <c r="X298" s="71">
        <v>0.9601</v>
      </c>
      <c r="Y298" s="71">
        <v>0.7601</v>
      </c>
      <c r="Z298" s="71">
        <v>0.6601</v>
      </c>
      <c r="AA298" s="71"/>
      <c r="AB298" s="57">
        <f t="shared" si="18"/>
        <v>0.7001</v>
      </c>
      <c r="AC298" s="71">
        <v>0.5283</v>
      </c>
      <c r="AD298" s="71">
        <v>0.5783</v>
      </c>
      <c r="AE298" s="71">
        <v>0.8283</v>
      </c>
      <c r="AF298" s="73"/>
      <c r="AG298" s="58">
        <f t="shared" si="19"/>
        <v>0</v>
      </c>
      <c r="AH298" s="73"/>
    </row>
    <row r="299" ht="14.25" spans="1:34">
      <c r="A299" s="57">
        <v>297</v>
      </c>
      <c r="B299" s="61" t="s">
        <v>1106</v>
      </c>
      <c r="C299" s="62" t="s">
        <v>300</v>
      </c>
      <c r="D299" s="65" t="s">
        <v>586</v>
      </c>
      <c r="E299" s="57">
        <v>22</v>
      </c>
      <c r="F299" s="57">
        <v>1.014</v>
      </c>
      <c r="G299" s="57">
        <v>0.965</v>
      </c>
      <c r="H299" s="58">
        <f t="shared" si="20"/>
        <v>0.98358</v>
      </c>
      <c r="I299" s="57">
        <v>20</v>
      </c>
      <c r="J299" s="57">
        <v>0.988</v>
      </c>
      <c r="K299" s="79">
        <v>1205</v>
      </c>
      <c r="L299" s="79">
        <v>820</v>
      </c>
      <c r="M299" s="57">
        <v>0</v>
      </c>
      <c r="N299" s="67">
        <v>0.1</v>
      </c>
      <c r="O299" s="67">
        <v>20</v>
      </c>
      <c r="P299" s="67">
        <v>0.1</v>
      </c>
      <c r="Q299" s="67">
        <v>5</v>
      </c>
      <c r="R299" s="57">
        <v>0.4453</v>
      </c>
      <c r="S299" s="71">
        <v>1.3976</v>
      </c>
      <c r="T299" s="71">
        <v>1.0996</v>
      </c>
      <c r="U299" s="71"/>
      <c r="V299" s="71">
        <v>0.5876</v>
      </c>
      <c r="W299" s="57">
        <f t="shared" si="21"/>
        <v>0.43984</v>
      </c>
      <c r="X299" s="71">
        <v>1.1146</v>
      </c>
      <c r="Y299" s="71">
        <v>0.9326</v>
      </c>
      <c r="Z299" s="71"/>
      <c r="AA299" s="71">
        <v>0.4486</v>
      </c>
      <c r="AB299" s="57">
        <f t="shared" si="18"/>
        <v>0.37304</v>
      </c>
      <c r="AC299" s="71">
        <v>0.538</v>
      </c>
      <c r="AD299" s="71">
        <v>0.588</v>
      </c>
      <c r="AE299" s="71">
        <v>0.838</v>
      </c>
      <c r="AF299" s="58">
        <v>0.89</v>
      </c>
      <c r="AG299" s="58">
        <f t="shared" si="19"/>
        <v>2.02346307748272</v>
      </c>
      <c r="AH299" s="58">
        <v>0.83</v>
      </c>
    </row>
    <row r="300" ht="14.25" spans="1:34">
      <c r="A300" s="57">
        <v>298</v>
      </c>
      <c r="B300" s="61" t="s">
        <v>1106</v>
      </c>
      <c r="C300" s="62" t="s">
        <v>300</v>
      </c>
      <c r="D300" s="56" t="s">
        <v>1119</v>
      </c>
      <c r="E300" s="57">
        <v>20</v>
      </c>
      <c r="F300" s="57">
        <v>1.026</v>
      </c>
      <c r="G300" s="57">
        <v>0.977</v>
      </c>
      <c r="H300" s="58">
        <f t="shared" si="20"/>
        <v>0.99522</v>
      </c>
      <c r="I300" s="57">
        <v>20</v>
      </c>
      <c r="J300" s="57">
        <v>1.028</v>
      </c>
      <c r="K300" s="79">
        <v>1214</v>
      </c>
      <c r="L300" s="79">
        <v>828</v>
      </c>
      <c r="M300" s="57">
        <v>0</v>
      </c>
      <c r="N300" s="67">
        <v>0.1</v>
      </c>
      <c r="O300" s="67">
        <v>20</v>
      </c>
      <c r="P300" s="67">
        <v>0.2</v>
      </c>
      <c r="Q300" s="67">
        <v>5</v>
      </c>
      <c r="R300" s="57">
        <v>0.4453</v>
      </c>
      <c r="S300" s="71">
        <v>1.3976</v>
      </c>
      <c r="T300" s="71">
        <v>1.0996</v>
      </c>
      <c r="U300" s="71"/>
      <c r="V300" s="71">
        <v>0.5876</v>
      </c>
      <c r="W300" s="57">
        <f t="shared" si="21"/>
        <v>0.43984</v>
      </c>
      <c r="X300" s="71">
        <v>1.1146</v>
      </c>
      <c r="Y300" s="71">
        <v>0.9326</v>
      </c>
      <c r="Z300" s="71"/>
      <c r="AA300" s="71">
        <v>0.4486</v>
      </c>
      <c r="AB300" s="57">
        <f t="shared" si="18"/>
        <v>0.37304</v>
      </c>
      <c r="AC300" s="71">
        <v>0.538</v>
      </c>
      <c r="AD300" s="71">
        <v>0.588</v>
      </c>
      <c r="AE300" s="71">
        <v>0.838</v>
      </c>
      <c r="AF300" s="58">
        <v>0.81</v>
      </c>
      <c r="AG300" s="58">
        <f t="shared" si="19"/>
        <v>1.84157875591124</v>
      </c>
      <c r="AH300" s="58">
        <v>0.75</v>
      </c>
    </row>
    <row r="301" ht="14.25" spans="1:34">
      <c r="A301" s="57">
        <v>299</v>
      </c>
      <c r="B301" s="61" t="s">
        <v>1106</v>
      </c>
      <c r="C301" s="62" t="s">
        <v>300</v>
      </c>
      <c r="D301" s="56" t="s">
        <v>1120</v>
      </c>
      <c r="E301" s="57">
        <v>24</v>
      </c>
      <c r="F301" s="57">
        <v>1.096</v>
      </c>
      <c r="G301" s="57">
        <v>1.035</v>
      </c>
      <c r="H301" s="58">
        <f t="shared" si="20"/>
        <v>1.06312</v>
      </c>
      <c r="I301" s="57">
        <v>20</v>
      </c>
      <c r="J301" s="57">
        <v>1.057</v>
      </c>
      <c r="K301" s="79">
        <v>1272</v>
      </c>
      <c r="L301" s="79">
        <v>785</v>
      </c>
      <c r="M301" s="57">
        <v>0</v>
      </c>
      <c r="N301" s="67">
        <v>0.1</v>
      </c>
      <c r="O301" s="67">
        <v>20</v>
      </c>
      <c r="P301" s="67">
        <v>0.1</v>
      </c>
      <c r="Q301" s="67">
        <v>5</v>
      </c>
      <c r="R301" s="57">
        <v>0.4453</v>
      </c>
      <c r="S301" s="71">
        <v>1.3976</v>
      </c>
      <c r="T301" s="71">
        <v>1.0996</v>
      </c>
      <c r="U301" s="71"/>
      <c r="V301" s="71">
        <v>0.5876</v>
      </c>
      <c r="W301" s="57">
        <f t="shared" si="21"/>
        <v>0.43984</v>
      </c>
      <c r="X301" s="71">
        <v>1.1146</v>
      </c>
      <c r="Y301" s="71">
        <v>0.9326</v>
      </c>
      <c r="Z301" s="71"/>
      <c r="AA301" s="71">
        <v>0.4486</v>
      </c>
      <c r="AB301" s="57">
        <f t="shared" si="18"/>
        <v>0.37304</v>
      </c>
      <c r="AC301" s="71">
        <v>0.538</v>
      </c>
      <c r="AD301" s="71">
        <v>0.588</v>
      </c>
      <c r="AE301" s="71">
        <v>0.838</v>
      </c>
      <c r="AF301" s="58">
        <v>0.79</v>
      </c>
      <c r="AG301" s="58">
        <f t="shared" si="19"/>
        <v>1.79610767551837</v>
      </c>
      <c r="AH301" s="58">
        <v>0.74</v>
      </c>
    </row>
    <row r="302" ht="14.25" spans="1:34">
      <c r="A302" s="57">
        <v>300</v>
      </c>
      <c r="B302" s="61" t="s">
        <v>1106</v>
      </c>
      <c r="C302" s="62" t="s">
        <v>300</v>
      </c>
      <c r="D302" s="56" t="s">
        <v>1121</v>
      </c>
      <c r="E302" s="57">
        <v>22</v>
      </c>
      <c r="F302" s="57">
        <v>1.047</v>
      </c>
      <c r="G302" s="57">
        <v>0.988</v>
      </c>
      <c r="H302" s="58">
        <f t="shared" si="20"/>
        <v>1.01559</v>
      </c>
      <c r="I302" s="57">
        <v>20</v>
      </c>
      <c r="J302" s="57">
        <v>1.067</v>
      </c>
      <c r="K302" s="79">
        <v>1225</v>
      </c>
      <c r="L302" s="79">
        <v>823</v>
      </c>
      <c r="M302" s="57">
        <v>0</v>
      </c>
      <c r="N302" s="67">
        <v>0.1</v>
      </c>
      <c r="O302" s="67">
        <v>20</v>
      </c>
      <c r="P302" s="67">
        <v>0.18</v>
      </c>
      <c r="Q302" s="67">
        <v>20</v>
      </c>
      <c r="R302" s="57">
        <v>0.4453</v>
      </c>
      <c r="S302" s="71">
        <v>1.3976</v>
      </c>
      <c r="T302" s="71">
        <v>1.0996</v>
      </c>
      <c r="U302" s="71"/>
      <c r="V302" s="71">
        <v>0.5876</v>
      </c>
      <c r="W302" s="57">
        <f t="shared" si="21"/>
        <v>0.43984</v>
      </c>
      <c r="X302" s="71">
        <v>1.1146</v>
      </c>
      <c r="Y302" s="71">
        <v>0.9326</v>
      </c>
      <c r="Z302" s="71"/>
      <c r="AA302" s="71">
        <v>0.4486</v>
      </c>
      <c r="AB302" s="57">
        <f t="shared" si="18"/>
        <v>0.37304</v>
      </c>
      <c r="AC302" s="71">
        <v>0.538</v>
      </c>
      <c r="AD302" s="71">
        <v>0.588</v>
      </c>
      <c r="AE302" s="71">
        <v>0.838</v>
      </c>
      <c r="AF302" s="58">
        <v>0.83</v>
      </c>
      <c r="AG302" s="58">
        <f t="shared" si="19"/>
        <v>1.88704983630411</v>
      </c>
      <c r="AH302" s="58">
        <v>0.77</v>
      </c>
    </row>
    <row r="303" ht="14.25" spans="1:34">
      <c r="A303" s="57">
        <v>301</v>
      </c>
      <c r="B303" s="61" t="s">
        <v>1106</v>
      </c>
      <c r="C303" s="62" t="s">
        <v>300</v>
      </c>
      <c r="D303" s="56" t="s">
        <v>1122</v>
      </c>
      <c r="E303" s="57">
        <v>25</v>
      </c>
      <c r="F303" s="57">
        <v>1.1</v>
      </c>
      <c r="G303" s="57">
        <v>1.032</v>
      </c>
      <c r="H303" s="58">
        <f t="shared" si="20"/>
        <v>1.067</v>
      </c>
      <c r="I303" s="57">
        <v>20</v>
      </c>
      <c r="J303" s="57">
        <v>1.057</v>
      </c>
      <c r="K303" s="79">
        <v>1262</v>
      </c>
      <c r="L303" s="79">
        <v>822</v>
      </c>
      <c r="M303" s="57">
        <v>0</v>
      </c>
      <c r="N303" s="67">
        <v>0.1</v>
      </c>
      <c r="O303" s="67">
        <v>20</v>
      </c>
      <c r="P303" s="67">
        <v>0.1</v>
      </c>
      <c r="Q303" s="67">
        <v>3</v>
      </c>
      <c r="R303" s="57">
        <v>0.4453</v>
      </c>
      <c r="S303" s="71">
        <v>1.3976</v>
      </c>
      <c r="T303" s="71">
        <v>1.0996</v>
      </c>
      <c r="U303" s="71"/>
      <c r="V303" s="71">
        <v>0.5876</v>
      </c>
      <c r="W303" s="57">
        <f t="shared" si="21"/>
        <v>0.43984</v>
      </c>
      <c r="X303" s="71">
        <v>1.1146</v>
      </c>
      <c r="Y303" s="71">
        <v>0.9326</v>
      </c>
      <c r="Z303" s="71"/>
      <c r="AA303" s="71">
        <v>0.4486</v>
      </c>
      <c r="AB303" s="57">
        <f t="shared" si="18"/>
        <v>0.37304</v>
      </c>
      <c r="AC303" s="71">
        <v>0.538</v>
      </c>
      <c r="AD303" s="71">
        <v>0.588</v>
      </c>
      <c r="AE303" s="71">
        <v>0.838</v>
      </c>
      <c r="AF303" s="58">
        <v>0.81</v>
      </c>
      <c r="AG303" s="58">
        <f t="shared" si="19"/>
        <v>1.84157875591124</v>
      </c>
      <c r="AH303" s="58">
        <v>0.75</v>
      </c>
    </row>
    <row r="304" ht="14.25" spans="1:34">
      <c r="A304" s="57">
        <v>302</v>
      </c>
      <c r="B304" s="61" t="s">
        <v>1106</v>
      </c>
      <c r="C304" s="62" t="s">
        <v>300</v>
      </c>
      <c r="D304" s="56" t="s">
        <v>1123</v>
      </c>
      <c r="E304" s="57">
        <v>25</v>
      </c>
      <c r="F304" s="57">
        <v>1.066</v>
      </c>
      <c r="G304" s="57">
        <v>1.011</v>
      </c>
      <c r="H304" s="58">
        <f t="shared" si="20"/>
        <v>1.03402</v>
      </c>
      <c r="I304" s="57">
        <v>20</v>
      </c>
      <c r="J304" s="57">
        <v>1.047</v>
      </c>
      <c r="K304" s="79">
        <v>1264</v>
      </c>
      <c r="L304" s="79">
        <v>786</v>
      </c>
      <c r="M304" s="57">
        <v>0</v>
      </c>
      <c r="N304" s="67">
        <v>0.1</v>
      </c>
      <c r="O304" s="67">
        <v>20</v>
      </c>
      <c r="P304" s="57">
        <v>0</v>
      </c>
      <c r="Q304" s="57">
        <v>0</v>
      </c>
      <c r="R304" s="57">
        <v>0.4453</v>
      </c>
      <c r="S304" s="71">
        <v>1.3976</v>
      </c>
      <c r="T304" s="71">
        <v>1.0996</v>
      </c>
      <c r="U304" s="71"/>
      <c r="V304" s="71">
        <v>0.5876</v>
      </c>
      <c r="W304" s="57">
        <f t="shared" si="21"/>
        <v>0.43984</v>
      </c>
      <c r="X304" s="71">
        <v>1.1146</v>
      </c>
      <c r="Y304" s="71">
        <v>0.9326</v>
      </c>
      <c r="Z304" s="71"/>
      <c r="AA304" s="71">
        <v>0.4486</v>
      </c>
      <c r="AB304" s="57">
        <f t="shared" si="18"/>
        <v>0.37304</v>
      </c>
      <c r="AC304" s="71">
        <v>0.538</v>
      </c>
      <c r="AD304" s="71">
        <v>0.588</v>
      </c>
      <c r="AE304" s="71">
        <v>0.838</v>
      </c>
      <c r="AF304" s="72"/>
      <c r="AG304" s="58">
        <f t="shared" si="19"/>
        <v>0</v>
      </c>
      <c r="AH304" s="72"/>
    </row>
    <row r="305" ht="14.25" spans="1:34">
      <c r="A305" s="57">
        <v>303</v>
      </c>
      <c r="B305" s="61" t="s">
        <v>1106</v>
      </c>
      <c r="C305" s="62" t="s">
        <v>300</v>
      </c>
      <c r="D305" s="56" t="s">
        <v>1124</v>
      </c>
      <c r="E305" s="57">
        <v>25</v>
      </c>
      <c r="F305" s="57">
        <v>1.111</v>
      </c>
      <c r="G305" s="57">
        <v>1.052</v>
      </c>
      <c r="H305" s="58">
        <f t="shared" si="20"/>
        <v>1.07767</v>
      </c>
      <c r="I305" s="57">
        <v>20</v>
      </c>
      <c r="J305" s="57">
        <v>1.089</v>
      </c>
      <c r="K305" s="79">
        <v>1323</v>
      </c>
      <c r="L305" s="79">
        <v>809</v>
      </c>
      <c r="M305" s="57">
        <v>0</v>
      </c>
      <c r="N305" s="67">
        <v>0.1</v>
      </c>
      <c r="O305" s="67">
        <v>20</v>
      </c>
      <c r="P305" s="67">
        <v>0.15</v>
      </c>
      <c r="Q305" s="67">
        <v>5</v>
      </c>
      <c r="R305" s="57">
        <v>0.4453</v>
      </c>
      <c r="S305" s="71">
        <v>1.3976</v>
      </c>
      <c r="T305" s="71">
        <v>1.0996</v>
      </c>
      <c r="U305" s="71"/>
      <c r="V305" s="71">
        <v>0.5876</v>
      </c>
      <c r="W305" s="57">
        <f t="shared" si="21"/>
        <v>0.43984</v>
      </c>
      <c r="X305" s="71">
        <v>1.1146</v>
      </c>
      <c r="Y305" s="71">
        <v>0.9326</v>
      </c>
      <c r="Z305" s="71"/>
      <c r="AA305" s="71">
        <v>0.4486</v>
      </c>
      <c r="AB305" s="57">
        <f t="shared" si="18"/>
        <v>0.37304</v>
      </c>
      <c r="AC305" s="71">
        <v>0.538</v>
      </c>
      <c r="AD305" s="71">
        <v>0.588</v>
      </c>
      <c r="AE305" s="71">
        <v>0.838</v>
      </c>
      <c r="AF305" s="72"/>
      <c r="AG305" s="58">
        <f t="shared" si="19"/>
        <v>0</v>
      </c>
      <c r="AH305" s="72"/>
    </row>
    <row r="306" ht="14.25" spans="1:34">
      <c r="A306" s="57">
        <v>304</v>
      </c>
      <c r="B306" s="61" t="s">
        <v>1106</v>
      </c>
      <c r="C306" s="62" t="s">
        <v>300</v>
      </c>
      <c r="D306" s="56" t="s">
        <v>1125</v>
      </c>
      <c r="E306" s="57">
        <v>25</v>
      </c>
      <c r="F306" s="57">
        <v>1.115</v>
      </c>
      <c r="G306" s="57">
        <v>1.046</v>
      </c>
      <c r="H306" s="58">
        <f t="shared" si="20"/>
        <v>1.08155</v>
      </c>
      <c r="I306" s="57">
        <v>18</v>
      </c>
      <c r="J306" s="57">
        <v>1.088</v>
      </c>
      <c r="K306" s="79">
        <v>1316</v>
      </c>
      <c r="L306" s="79">
        <v>815</v>
      </c>
      <c r="M306" s="57">
        <v>0</v>
      </c>
      <c r="N306" s="67">
        <v>0.1</v>
      </c>
      <c r="O306" s="67">
        <v>20</v>
      </c>
      <c r="P306" s="67">
        <v>0.1</v>
      </c>
      <c r="Q306" s="67">
        <v>5</v>
      </c>
      <c r="R306" s="57">
        <v>0.4453</v>
      </c>
      <c r="S306" s="71">
        <v>1.3976</v>
      </c>
      <c r="T306" s="71">
        <v>1.0996</v>
      </c>
      <c r="U306" s="71"/>
      <c r="V306" s="71">
        <v>0.5876</v>
      </c>
      <c r="W306" s="57">
        <f t="shared" si="21"/>
        <v>0.43984</v>
      </c>
      <c r="X306" s="71">
        <v>1.1146</v>
      </c>
      <c r="Y306" s="71">
        <v>0.9326</v>
      </c>
      <c r="Z306" s="71"/>
      <c r="AA306" s="71">
        <v>0.4486</v>
      </c>
      <c r="AB306" s="57">
        <f t="shared" si="18"/>
        <v>0.37304</v>
      </c>
      <c r="AC306" s="71">
        <v>0.538</v>
      </c>
      <c r="AD306" s="71">
        <v>0.588</v>
      </c>
      <c r="AE306" s="71">
        <v>0.838</v>
      </c>
      <c r="AF306" s="58">
        <v>0.8</v>
      </c>
      <c r="AG306" s="58">
        <f t="shared" si="19"/>
        <v>1.81884321571481</v>
      </c>
      <c r="AH306" s="58">
        <v>0.75</v>
      </c>
    </row>
    <row r="307" ht="14.25" spans="1:34">
      <c r="A307" s="57">
        <v>305</v>
      </c>
      <c r="B307" s="61" t="s">
        <v>1106</v>
      </c>
      <c r="C307" s="62" t="s">
        <v>300</v>
      </c>
      <c r="D307" s="56" t="s">
        <v>1126</v>
      </c>
      <c r="E307" s="57">
        <v>25</v>
      </c>
      <c r="F307" s="57">
        <v>1.126</v>
      </c>
      <c r="G307" s="57">
        <v>1.059</v>
      </c>
      <c r="H307" s="58">
        <f t="shared" si="20"/>
        <v>1.09222</v>
      </c>
      <c r="I307" s="57">
        <v>23</v>
      </c>
      <c r="J307" s="57">
        <v>1.098</v>
      </c>
      <c r="K307" s="79">
        <v>1316</v>
      </c>
      <c r="L307" s="79">
        <v>798</v>
      </c>
      <c r="M307" s="57">
        <v>0</v>
      </c>
      <c r="N307" s="67">
        <v>0.1</v>
      </c>
      <c r="O307" s="67">
        <v>20</v>
      </c>
      <c r="P307" s="57">
        <v>0</v>
      </c>
      <c r="Q307" s="57">
        <v>0</v>
      </c>
      <c r="R307" s="57">
        <v>0.4453</v>
      </c>
      <c r="S307" s="71">
        <v>1.3976</v>
      </c>
      <c r="T307" s="71">
        <v>1.0996</v>
      </c>
      <c r="U307" s="71"/>
      <c r="V307" s="71">
        <v>0.5876</v>
      </c>
      <c r="W307" s="57">
        <f t="shared" si="21"/>
        <v>0.43984</v>
      </c>
      <c r="X307" s="71">
        <v>1.1146</v>
      </c>
      <c r="Y307" s="71">
        <v>0.9326</v>
      </c>
      <c r="Z307" s="71"/>
      <c r="AA307" s="71">
        <v>0.4486</v>
      </c>
      <c r="AB307" s="57">
        <f t="shared" si="18"/>
        <v>0.37304</v>
      </c>
      <c r="AC307" s="71">
        <v>0.538</v>
      </c>
      <c r="AD307" s="71">
        <v>0.588</v>
      </c>
      <c r="AE307" s="71">
        <v>0.838</v>
      </c>
      <c r="AF307" s="72"/>
      <c r="AG307" s="58">
        <f t="shared" si="19"/>
        <v>0</v>
      </c>
      <c r="AH307" s="72"/>
    </row>
    <row r="308" ht="14.25" spans="1:34">
      <c r="A308" s="57">
        <v>306</v>
      </c>
      <c r="B308" s="61" t="s">
        <v>1106</v>
      </c>
      <c r="C308" s="62" t="s">
        <v>300</v>
      </c>
      <c r="D308" s="56" t="s">
        <v>1127</v>
      </c>
      <c r="E308" s="57">
        <v>25</v>
      </c>
      <c r="F308" s="57">
        <v>1.139</v>
      </c>
      <c r="G308" s="57">
        <v>1.077</v>
      </c>
      <c r="H308" s="58">
        <f t="shared" si="20"/>
        <v>1.10483</v>
      </c>
      <c r="I308" s="57">
        <v>20</v>
      </c>
      <c r="J308" s="57">
        <v>1.085</v>
      </c>
      <c r="K308" s="79">
        <v>1322</v>
      </c>
      <c r="L308" s="79">
        <v>793</v>
      </c>
      <c r="M308" s="57">
        <v>0</v>
      </c>
      <c r="N308" s="67">
        <v>0.1</v>
      </c>
      <c r="O308" s="67">
        <v>20</v>
      </c>
      <c r="P308" s="67">
        <v>0.3</v>
      </c>
      <c r="Q308" s="67">
        <v>5</v>
      </c>
      <c r="R308" s="57">
        <v>0.4453</v>
      </c>
      <c r="S308" s="71">
        <v>1.3976</v>
      </c>
      <c r="T308" s="71">
        <v>1.0996</v>
      </c>
      <c r="U308" s="71"/>
      <c r="V308" s="71">
        <v>0.5876</v>
      </c>
      <c r="W308" s="57">
        <f t="shared" si="21"/>
        <v>0.43984</v>
      </c>
      <c r="X308" s="71">
        <v>1.1146</v>
      </c>
      <c r="Y308" s="71">
        <v>0.9326</v>
      </c>
      <c r="Z308" s="71"/>
      <c r="AA308" s="71">
        <v>0.4486</v>
      </c>
      <c r="AB308" s="57">
        <f t="shared" si="18"/>
        <v>0.37304</v>
      </c>
      <c r="AC308" s="71">
        <v>0.538</v>
      </c>
      <c r="AD308" s="71">
        <v>0.588</v>
      </c>
      <c r="AE308" s="71">
        <v>0.838</v>
      </c>
      <c r="AF308" s="58">
        <v>0.78</v>
      </c>
      <c r="AG308" s="58">
        <f t="shared" si="19"/>
        <v>1.77337213532194</v>
      </c>
      <c r="AH308" s="58">
        <v>0.72</v>
      </c>
    </row>
    <row r="309" ht="14.25" spans="1:34">
      <c r="A309" s="57">
        <v>307</v>
      </c>
      <c r="B309" s="61" t="s">
        <v>1106</v>
      </c>
      <c r="C309" s="62" t="s">
        <v>300</v>
      </c>
      <c r="D309" s="56" t="s">
        <v>1128</v>
      </c>
      <c r="E309" s="57">
        <v>25</v>
      </c>
      <c r="F309" s="57">
        <v>1.078</v>
      </c>
      <c r="G309" s="57">
        <v>1.016</v>
      </c>
      <c r="H309" s="58">
        <f t="shared" si="20"/>
        <v>1.04566</v>
      </c>
      <c r="I309" s="57">
        <v>20</v>
      </c>
      <c r="J309" s="57">
        <v>1.064</v>
      </c>
      <c r="K309" s="79">
        <v>1265</v>
      </c>
      <c r="L309" s="79">
        <v>792</v>
      </c>
      <c r="M309" s="57">
        <v>0</v>
      </c>
      <c r="N309" s="67">
        <v>0.1</v>
      </c>
      <c r="O309" s="67">
        <v>20</v>
      </c>
      <c r="P309" s="67">
        <v>0.3</v>
      </c>
      <c r="Q309" s="67">
        <v>0</v>
      </c>
      <c r="R309" s="57">
        <v>0.4453</v>
      </c>
      <c r="S309" s="71">
        <v>1.3976</v>
      </c>
      <c r="T309" s="71">
        <v>1.0996</v>
      </c>
      <c r="U309" s="71"/>
      <c r="V309" s="71">
        <v>0.5876</v>
      </c>
      <c r="W309" s="57">
        <f t="shared" si="21"/>
        <v>0.43984</v>
      </c>
      <c r="X309" s="71">
        <v>1.1146</v>
      </c>
      <c r="Y309" s="71">
        <v>0.9326</v>
      </c>
      <c r="Z309" s="71"/>
      <c r="AA309" s="71">
        <v>0.4486</v>
      </c>
      <c r="AB309" s="57">
        <f t="shared" si="18"/>
        <v>0.37304</v>
      </c>
      <c r="AC309" s="71">
        <v>0.538</v>
      </c>
      <c r="AD309" s="71">
        <v>0.588</v>
      </c>
      <c r="AE309" s="71">
        <v>0.838</v>
      </c>
      <c r="AF309" s="72"/>
      <c r="AG309" s="58">
        <f t="shared" si="19"/>
        <v>0</v>
      </c>
      <c r="AH309" s="72"/>
    </row>
    <row r="310" ht="14.25" spans="1:34">
      <c r="A310" s="52">
        <v>308</v>
      </c>
      <c r="B310" s="61" t="s">
        <v>1106</v>
      </c>
      <c r="C310" s="62" t="s">
        <v>1129</v>
      </c>
      <c r="D310" s="65" t="s">
        <v>594</v>
      </c>
      <c r="E310" s="57">
        <v>20</v>
      </c>
      <c r="F310" s="63">
        <v>1.026</v>
      </c>
      <c r="G310" s="57">
        <v>0.987</v>
      </c>
      <c r="H310" s="58">
        <f t="shared" si="20"/>
        <v>0.99522</v>
      </c>
      <c r="I310" s="52">
        <v>17</v>
      </c>
      <c r="J310" s="52">
        <v>1.021</v>
      </c>
      <c r="K310" s="79">
        <v>1246</v>
      </c>
      <c r="L310" s="79">
        <v>784</v>
      </c>
      <c r="M310" s="57">
        <v>0</v>
      </c>
      <c r="N310" s="57">
        <v>0</v>
      </c>
      <c r="O310" s="57">
        <v>0</v>
      </c>
      <c r="P310" s="57">
        <v>0</v>
      </c>
      <c r="Q310" s="57">
        <v>0</v>
      </c>
      <c r="R310" s="57">
        <v>0.4075</v>
      </c>
      <c r="S310" s="57"/>
      <c r="T310" s="57"/>
      <c r="U310" s="57">
        <v>0.7371</v>
      </c>
      <c r="V310" s="57"/>
      <c r="W310" s="57">
        <f t="shared" si="21"/>
        <v>0.7371</v>
      </c>
      <c r="X310" s="57"/>
      <c r="Y310" s="57"/>
      <c r="Z310" s="57">
        <v>0.5372</v>
      </c>
      <c r="AA310" s="57"/>
      <c r="AB310" s="57">
        <f t="shared" si="18"/>
        <v>0.5372</v>
      </c>
      <c r="AC310" s="57">
        <v>0.4983</v>
      </c>
      <c r="AD310" s="57">
        <v>0.5483</v>
      </c>
      <c r="AE310" s="57">
        <v>0.7983</v>
      </c>
      <c r="AF310" s="58">
        <v>0.95</v>
      </c>
      <c r="AG310" s="58">
        <f t="shared" si="19"/>
        <v>1.28883462216796</v>
      </c>
      <c r="AH310" s="58">
        <v>0.9</v>
      </c>
    </row>
    <row r="311" ht="14.25" spans="1:34">
      <c r="A311" s="52">
        <v>309</v>
      </c>
      <c r="B311" s="61" t="s">
        <v>1106</v>
      </c>
      <c r="C311" s="62" t="s">
        <v>1129</v>
      </c>
      <c r="D311" s="64" t="s">
        <v>1130</v>
      </c>
      <c r="E311" s="57">
        <v>20</v>
      </c>
      <c r="F311" s="52">
        <v>1.075</v>
      </c>
      <c r="G311" s="57">
        <v>1.036</v>
      </c>
      <c r="H311" s="58">
        <f t="shared" si="20"/>
        <v>1.04275</v>
      </c>
      <c r="I311" s="52">
        <v>16</v>
      </c>
      <c r="J311" s="52">
        <v>1.035</v>
      </c>
      <c r="K311" s="79">
        <v>1296</v>
      </c>
      <c r="L311" s="79">
        <v>798</v>
      </c>
      <c r="M311" s="57">
        <v>0</v>
      </c>
      <c r="N311" s="57">
        <v>0</v>
      </c>
      <c r="O311" s="57">
        <v>0</v>
      </c>
      <c r="P311" s="57">
        <v>0</v>
      </c>
      <c r="Q311" s="57">
        <v>0</v>
      </c>
      <c r="R311" s="57">
        <v>0.4075</v>
      </c>
      <c r="S311" s="57"/>
      <c r="T311" s="57"/>
      <c r="U311" s="57"/>
      <c r="V311" s="57"/>
      <c r="W311" s="57">
        <f t="shared" si="21"/>
        <v>0</v>
      </c>
      <c r="X311" s="57"/>
      <c r="Y311" s="57"/>
      <c r="Z311" s="57"/>
      <c r="AA311" s="57"/>
      <c r="AB311" s="57">
        <f t="shared" si="18"/>
        <v>0</v>
      </c>
      <c r="AC311" s="57"/>
      <c r="AD311" s="57"/>
      <c r="AE311" s="57"/>
      <c r="AF311" s="73"/>
      <c r="AG311" s="58" t="e">
        <f t="shared" si="19"/>
        <v>#DIV/0!</v>
      </c>
      <c r="AH311" s="73"/>
    </row>
    <row r="312" ht="14.25" spans="1:34">
      <c r="A312" s="52">
        <v>310</v>
      </c>
      <c r="B312" s="61" t="s">
        <v>1106</v>
      </c>
      <c r="C312" s="62" t="s">
        <v>1129</v>
      </c>
      <c r="D312" s="64" t="s">
        <v>1131</v>
      </c>
      <c r="E312" s="57">
        <v>24</v>
      </c>
      <c r="F312" s="52">
        <v>1.268</v>
      </c>
      <c r="G312" s="57">
        <v>1.2</v>
      </c>
      <c r="H312" s="58">
        <f t="shared" si="20"/>
        <v>1.22996</v>
      </c>
      <c r="I312" s="52">
        <v>18</v>
      </c>
      <c r="J312" s="52">
        <v>1.204</v>
      </c>
      <c r="K312" s="79">
        <v>1509</v>
      </c>
      <c r="L312" s="79">
        <v>833</v>
      </c>
      <c r="M312" s="57">
        <v>0</v>
      </c>
      <c r="N312" s="57">
        <v>0</v>
      </c>
      <c r="O312" s="57">
        <v>0</v>
      </c>
      <c r="P312" s="57">
        <v>0</v>
      </c>
      <c r="Q312" s="57">
        <v>0</v>
      </c>
      <c r="R312" s="57">
        <v>0.4075</v>
      </c>
      <c r="S312" s="57"/>
      <c r="T312" s="57"/>
      <c r="U312" s="57">
        <v>0.6653</v>
      </c>
      <c r="V312" s="57"/>
      <c r="W312" s="57">
        <f t="shared" si="21"/>
        <v>0.6653</v>
      </c>
      <c r="X312" s="57"/>
      <c r="Y312" s="57"/>
      <c r="Z312" s="57">
        <v>0.535</v>
      </c>
      <c r="AA312" s="57"/>
      <c r="AB312" s="57">
        <f t="shared" si="18"/>
        <v>0.535</v>
      </c>
      <c r="AC312" s="57">
        <v>0.4983</v>
      </c>
      <c r="AD312" s="57">
        <v>0.5483</v>
      </c>
      <c r="AE312" s="57">
        <v>0.7983</v>
      </c>
      <c r="AF312" s="73"/>
      <c r="AG312" s="58">
        <f t="shared" si="19"/>
        <v>0</v>
      </c>
      <c r="AH312" s="73"/>
    </row>
    <row r="313" ht="14.25" spans="1:34">
      <c r="A313" s="52">
        <v>311</v>
      </c>
      <c r="B313" s="61" t="s">
        <v>1106</v>
      </c>
      <c r="C313" s="62" t="s">
        <v>1129</v>
      </c>
      <c r="D313" s="64" t="s">
        <v>1132</v>
      </c>
      <c r="E313" s="57">
        <v>20</v>
      </c>
      <c r="F313" s="52">
        <v>1.202</v>
      </c>
      <c r="G313" s="57">
        <v>1.152</v>
      </c>
      <c r="H313" s="58">
        <f t="shared" si="20"/>
        <v>1.16594</v>
      </c>
      <c r="I313" s="52">
        <v>17</v>
      </c>
      <c r="J313" s="52">
        <v>1.121</v>
      </c>
      <c r="K313" s="79">
        <v>1451</v>
      </c>
      <c r="L313" s="79">
        <v>847</v>
      </c>
      <c r="M313" s="57">
        <v>0</v>
      </c>
      <c r="N313" s="57">
        <v>0</v>
      </c>
      <c r="O313" s="57">
        <v>0</v>
      </c>
      <c r="P313" s="57">
        <v>0</v>
      </c>
      <c r="Q313" s="57">
        <v>0</v>
      </c>
      <c r="R313" s="57">
        <v>0.4075</v>
      </c>
      <c r="S313" s="57"/>
      <c r="T313" s="57"/>
      <c r="U313" s="57"/>
      <c r="V313" s="57"/>
      <c r="W313" s="57">
        <f t="shared" si="21"/>
        <v>0</v>
      </c>
      <c r="X313" s="57"/>
      <c r="Y313" s="57"/>
      <c r="Z313" s="57"/>
      <c r="AA313" s="57"/>
      <c r="AB313" s="57">
        <f t="shared" si="18"/>
        <v>0</v>
      </c>
      <c r="AC313" s="57"/>
      <c r="AD313" s="57"/>
      <c r="AE313" s="57"/>
      <c r="AF313" s="73"/>
      <c r="AG313" s="58" t="e">
        <f t="shared" si="19"/>
        <v>#DIV/0!</v>
      </c>
      <c r="AH313" s="73"/>
    </row>
    <row r="314" ht="14.25" spans="1:34">
      <c r="A314" s="52">
        <v>312</v>
      </c>
      <c r="B314" s="61" t="s">
        <v>1106</v>
      </c>
      <c r="C314" s="62" t="s">
        <v>1129</v>
      </c>
      <c r="D314" s="64" t="s">
        <v>1133</v>
      </c>
      <c r="E314" s="57">
        <v>20</v>
      </c>
      <c r="F314" s="52">
        <v>1.168</v>
      </c>
      <c r="G314" s="57">
        <v>1.121</v>
      </c>
      <c r="H314" s="58">
        <f t="shared" si="20"/>
        <v>1.13296</v>
      </c>
      <c r="I314" s="52">
        <v>17</v>
      </c>
      <c r="J314" s="52">
        <v>1.131</v>
      </c>
      <c r="K314" s="79">
        <v>1414</v>
      </c>
      <c r="L314" s="79">
        <v>823</v>
      </c>
      <c r="M314" s="57">
        <v>0</v>
      </c>
      <c r="N314" s="57">
        <v>0</v>
      </c>
      <c r="O314" s="57">
        <v>0</v>
      </c>
      <c r="P314" s="57">
        <v>0</v>
      </c>
      <c r="Q314" s="57">
        <v>0</v>
      </c>
      <c r="R314" s="57">
        <v>0.4075</v>
      </c>
      <c r="S314" s="57"/>
      <c r="T314" s="57"/>
      <c r="U314" s="57">
        <v>0.6706</v>
      </c>
      <c r="V314" s="57"/>
      <c r="W314" s="57">
        <f t="shared" si="21"/>
        <v>0.6706</v>
      </c>
      <c r="X314" s="57"/>
      <c r="Y314" s="57"/>
      <c r="Z314" s="57">
        <v>0.5757</v>
      </c>
      <c r="AA314" s="57"/>
      <c r="AB314" s="57">
        <f t="shared" si="18"/>
        <v>0.5757</v>
      </c>
      <c r="AC314" s="57">
        <v>0.4983</v>
      </c>
      <c r="AD314" s="57">
        <v>0.5483</v>
      </c>
      <c r="AE314" s="57">
        <v>0.7983</v>
      </c>
      <c r="AF314" s="73"/>
      <c r="AG314" s="58">
        <f t="shared" si="19"/>
        <v>0</v>
      </c>
      <c r="AH314" s="73"/>
    </row>
    <row r="315" ht="14.25" spans="1:34">
      <c r="A315" s="52">
        <v>313</v>
      </c>
      <c r="B315" s="61" t="s">
        <v>1106</v>
      </c>
      <c r="C315" s="62" t="s">
        <v>1129</v>
      </c>
      <c r="D315" s="64" t="s">
        <v>1134</v>
      </c>
      <c r="E315" s="57">
        <v>22</v>
      </c>
      <c r="F315" s="52">
        <v>1.168</v>
      </c>
      <c r="G315" s="57">
        <v>1.113</v>
      </c>
      <c r="H315" s="58">
        <f t="shared" si="20"/>
        <v>1.13296</v>
      </c>
      <c r="I315" s="52">
        <v>18</v>
      </c>
      <c r="J315" s="52">
        <v>1.116</v>
      </c>
      <c r="K315" s="79">
        <v>1406</v>
      </c>
      <c r="L315" s="79">
        <v>823</v>
      </c>
      <c r="M315" s="57">
        <v>0</v>
      </c>
      <c r="N315" s="57">
        <v>0</v>
      </c>
      <c r="O315" s="57">
        <v>0</v>
      </c>
      <c r="P315" s="57">
        <v>0</v>
      </c>
      <c r="Q315" s="57">
        <v>0</v>
      </c>
      <c r="R315" s="57">
        <v>0.4075</v>
      </c>
      <c r="S315" s="57"/>
      <c r="T315" s="57"/>
      <c r="U315" s="57">
        <v>0.7242</v>
      </c>
      <c r="V315" s="57"/>
      <c r="W315" s="57">
        <f t="shared" si="21"/>
        <v>0.7242</v>
      </c>
      <c r="X315" s="57"/>
      <c r="Y315" s="57"/>
      <c r="Z315" s="57">
        <v>0.5518</v>
      </c>
      <c r="AA315" s="57"/>
      <c r="AB315" s="57">
        <f t="shared" si="18"/>
        <v>0.5518</v>
      </c>
      <c r="AC315" s="57">
        <v>0.4983</v>
      </c>
      <c r="AD315" s="57">
        <v>0.5483</v>
      </c>
      <c r="AE315" s="57">
        <v>0.7983</v>
      </c>
      <c r="AF315" s="73"/>
      <c r="AG315" s="58">
        <f t="shared" si="19"/>
        <v>0</v>
      </c>
      <c r="AH315" s="73"/>
    </row>
    <row r="316" ht="14.25" spans="1:34">
      <c r="A316" s="52">
        <v>314</v>
      </c>
      <c r="B316" s="61" t="s">
        <v>1106</v>
      </c>
      <c r="C316" s="62" t="s">
        <v>1129</v>
      </c>
      <c r="D316" s="64" t="s">
        <v>1135</v>
      </c>
      <c r="E316" s="57">
        <v>22</v>
      </c>
      <c r="F316" s="52">
        <v>1.163</v>
      </c>
      <c r="G316" s="57">
        <v>1.108</v>
      </c>
      <c r="H316" s="58">
        <f t="shared" si="20"/>
        <v>1.12811</v>
      </c>
      <c r="I316" s="52">
        <v>18</v>
      </c>
      <c r="J316" s="52">
        <v>1.132</v>
      </c>
      <c r="K316" s="79">
        <v>1367</v>
      </c>
      <c r="L316" s="79">
        <v>780</v>
      </c>
      <c r="M316" s="57">
        <v>0</v>
      </c>
      <c r="N316" s="57">
        <v>0</v>
      </c>
      <c r="O316" s="57">
        <v>0</v>
      </c>
      <c r="P316" s="57">
        <v>0</v>
      </c>
      <c r="Q316" s="57">
        <v>0</v>
      </c>
      <c r="R316" s="57">
        <v>0.4075</v>
      </c>
      <c r="S316" s="57"/>
      <c r="T316" s="57"/>
      <c r="U316" s="57">
        <v>0.6608</v>
      </c>
      <c r="V316" s="57"/>
      <c r="W316" s="57">
        <f t="shared" si="21"/>
        <v>0.6608</v>
      </c>
      <c r="X316" s="57"/>
      <c r="Y316" s="57"/>
      <c r="Z316" s="57">
        <v>0.5328</v>
      </c>
      <c r="AA316" s="57"/>
      <c r="AB316" s="57">
        <f t="shared" si="18"/>
        <v>0.5328</v>
      </c>
      <c r="AC316" s="57">
        <v>0.4983</v>
      </c>
      <c r="AD316" s="57">
        <v>0.5483</v>
      </c>
      <c r="AE316" s="57">
        <v>0.7983</v>
      </c>
      <c r="AF316" s="73"/>
      <c r="AG316" s="58">
        <f t="shared" si="19"/>
        <v>0</v>
      </c>
      <c r="AH316" s="73"/>
    </row>
    <row r="317" ht="14.25" spans="1:34">
      <c r="A317" s="52">
        <v>315</v>
      </c>
      <c r="B317" s="61" t="s">
        <v>1106</v>
      </c>
      <c r="C317" s="62" t="s">
        <v>1129</v>
      </c>
      <c r="D317" s="64" t="s">
        <v>1136</v>
      </c>
      <c r="E317" s="57">
        <v>23</v>
      </c>
      <c r="F317" s="52">
        <v>1.189</v>
      </c>
      <c r="G317" s="57">
        <v>1.128</v>
      </c>
      <c r="H317" s="58">
        <f t="shared" si="20"/>
        <v>1.15333</v>
      </c>
      <c r="I317" s="52">
        <v>20</v>
      </c>
      <c r="J317" s="52">
        <v>1.13</v>
      </c>
      <c r="K317" s="79">
        <v>1414</v>
      </c>
      <c r="L317" s="79">
        <v>797</v>
      </c>
      <c r="M317" s="57">
        <v>0</v>
      </c>
      <c r="N317" s="57">
        <v>0</v>
      </c>
      <c r="O317" s="57">
        <v>0</v>
      </c>
      <c r="P317" s="57">
        <v>0</v>
      </c>
      <c r="Q317" s="57">
        <v>0</v>
      </c>
      <c r="R317" s="57">
        <v>0.4075</v>
      </c>
      <c r="S317" s="57"/>
      <c r="T317" s="57"/>
      <c r="U317" s="57">
        <v>0.6282</v>
      </c>
      <c r="V317" s="57"/>
      <c r="W317" s="57">
        <f t="shared" si="21"/>
        <v>0.6282</v>
      </c>
      <c r="X317" s="57"/>
      <c r="Y317" s="57"/>
      <c r="Z317" s="57">
        <v>0.5933</v>
      </c>
      <c r="AA317" s="57"/>
      <c r="AB317" s="57">
        <f t="shared" si="18"/>
        <v>0.5933</v>
      </c>
      <c r="AC317" s="57">
        <v>0.4983</v>
      </c>
      <c r="AD317" s="57">
        <v>0.5483</v>
      </c>
      <c r="AE317" s="57">
        <v>0.7983</v>
      </c>
      <c r="AF317" s="73"/>
      <c r="AG317" s="58">
        <f t="shared" si="19"/>
        <v>0</v>
      </c>
      <c r="AH317" s="73"/>
    </row>
    <row r="318" ht="14.25" spans="1:34">
      <c r="A318" s="52">
        <v>316</v>
      </c>
      <c r="B318" s="61" t="s">
        <v>1106</v>
      </c>
      <c r="C318" s="62" t="s">
        <v>1129</v>
      </c>
      <c r="D318" s="64" t="s">
        <v>1137</v>
      </c>
      <c r="E318" s="83">
        <v>20</v>
      </c>
      <c r="F318" s="52">
        <v>1.072</v>
      </c>
      <c r="G318" s="58">
        <v>1.027</v>
      </c>
      <c r="H318" s="58">
        <f t="shared" si="20"/>
        <v>1.03984</v>
      </c>
      <c r="I318" s="52">
        <v>18</v>
      </c>
      <c r="J318" s="52">
        <v>1.045</v>
      </c>
      <c r="K318" s="79">
        <v>1293</v>
      </c>
      <c r="L318" s="79">
        <v>784</v>
      </c>
      <c r="M318" s="57">
        <v>0</v>
      </c>
      <c r="N318" s="57">
        <v>0</v>
      </c>
      <c r="O318" s="57">
        <v>0</v>
      </c>
      <c r="P318" s="57">
        <v>0</v>
      </c>
      <c r="Q318" s="57">
        <v>0</v>
      </c>
      <c r="R318" s="57">
        <v>0.4075</v>
      </c>
      <c r="S318" s="57"/>
      <c r="T318" s="57"/>
      <c r="U318" s="57">
        <v>0.6731</v>
      </c>
      <c r="V318" s="57"/>
      <c r="W318" s="57">
        <f t="shared" si="21"/>
        <v>0.6731</v>
      </c>
      <c r="X318" s="57"/>
      <c r="Y318" s="57"/>
      <c r="Z318" s="57">
        <v>0.5068</v>
      </c>
      <c r="AA318" s="57"/>
      <c r="AB318" s="57">
        <f t="shared" si="18"/>
        <v>0.5068</v>
      </c>
      <c r="AC318" s="57">
        <v>0.4983</v>
      </c>
      <c r="AD318" s="57">
        <v>0.5483</v>
      </c>
      <c r="AE318" s="57">
        <v>0.7983</v>
      </c>
      <c r="AF318" s="73"/>
      <c r="AG318" s="58">
        <f t="shared" si="19"/>
        <v>0</v>
      </c>
      <c r="AH318" s="73"/>
    </row>
    <row r="319" ht="14.25" spans="1:34">
      <c r="A319" s="57">
        <v>317</v>
      </c>
      <c r="B319" s="61" t="s">
        <v>1106</v>
      </c>
      <c r="C319" s="62" t="s">
        <v>419</v>
      </c>
      <c r="D319" s="65" t="s">
        <v>600</v>
      </c>
      <c r="E319" s="57">
        <v>30</v>
      </c>
      <c r="F319" s="57">
        <v>1.214</v>
      </c>
      <c r="G319" s="58">
        <v>1.088</v>
      </c>
      <c r="H319" s="58">
        <f t="shared" si="20"/>
        <v>1.17758</v>
      </c>
      <c r="I319" s="57">
        <v>32</v>
      </c>
      <c r="J319" s="57">
        <v>1.231</v>
      </c>
      <c r="K319" s="79">
        <v>1340</v>
      </c>
      <c r="L319" s="79">
        <v>815</v>
      </c>
      <c r="M319" s="57">
        <v>0</v>
      </c>
      <c r="N319" s="67">
        <v>0.05</v>
      </c>
      <c r="O319" s="67">
        <v>20</v>
      </c>
      <c r="P319" s="57">
        <v>0</v>
      </c>
      <c r="Q319" s="57">
        <v>0</v>
      </c>
      <c r="R319" s="57">
        <v>0.4194</v>
      </c>
      <c r="S319" s="57"/>
      <c r="T319" s="57"/>
      <c r="U319" s="57">
        <v>0.7512</v>
      </c>
      <c r="V319" s="57"/>
      <c r="W319" s="57">
        <f t="shared" si="21"/>
        <v>0.7512</v>
      </c>
      <c r="X319" s="57"/>
      <c r="Y319" s="57"/>
      <c r="Z319" s="57">
        <v>0.632</v>
      </c>
      <c r="AA319" s="57"/>
      <c r="AB319" s="57">
        <f t="shared" si="18"/>
        <v>0.632</v>
      </c>
      <c r="AC319" s="57">
        <v>0.5469</v>
      </c>
      <c r="AD319" s="57">
        <v>0.5969</v>
      </c>
      <c r="AE319" s="57">
        <v>0.8469</v>
      </c>
      <c r="AF319" s="58">
        <v>0.8</v>
      </c>
      <c r="AG319" s="58">
        <f t="shared" si="19"/>
        <v>1.06496272630458</v>
      </c>
      <c r="AH319" s="58">
        <v>0.75</v>
      </c>
    </row>
    <row r="320" ht="14.25" spans="1:34">
      <c r="A320" s="57">
        <v>318</v>
      </c>
      <c r="B320" s="61" t="s">
        <v>1106</v>
      </c>
      <c r="C320" s="62" t="s">
        <v>419</v>
      </c>
      <c r="D320" s="56" t="s">
        <v>1138</v>
      </c>
      <c r="E320" s="57">
        <v>34</v>
      </c>
      <c r="F320" s="57">
        <v>1.354</v>
      </c>
      <c r="G320" s="57">
        <v>1.185</v>
      </c>
      <c r="H320" s="58">
        <f t="shared" si="20"/>
        <v>1.31338</v>
      </c>
      <c r="I320" s="57">
        <v>30</v>
      </c>
      <c r="J320" s="57">
        <v>0.975</v>
      </c>
      <c r="K320" s="79">
        <v>1451</v>
      </c>
      <c r="L320" s="79">
        <v>796</v>
      </c>
      <c r="M320" s="57">
        <v>0</v>
      </c>
      <c r="N320" s="67">
        <v>0.05</v>
      </c>
      <c r="O320" s="67">
        <v>20</v>
      </c>
      <c r="P320" s="57">
        <v>0</v>
      </c>
      <c r="Q320" s="57">
        <v>0</v>
      </c>
      <c r="R320" s="57">
        <v>0.4194</v>
      </c>
      <c r="S320" s="57"/>
      <c r="T320" s="57"/>
      <c r="U320" s="57">
        <v>0.7512</v>
      </c>
      <c r="V320" s="57"/>
      <c r="W320" s="57">
        <f t="shared" si="21"/>
        <v>0.7512</v>
      </c>
      <c r="X320" s="57"/>
      <c r="Y320" s="57"/>
      <c r="Z320" s="57">
        <v>0.632</v>
      </c>
      <c r="AA320" s="57"/>
      <c r="AB320" s="57">
        <f t="shared" si="18"/>
        <v>0.632</v>
      </c>
      <c r="AC320" s="57">
        <v>0.5469</v>
      </c>
      <c r="AD320" s="57">
        <v>0.5969</v>
      </c>
      <c r="AE320" s="57">
        <v>0.8469</v>
      </c>
      <c r="AF320" s="58">
        <v>0.75</v>
      </c>
      <c r="AG320" s="58">
        <f t="shared" si="19"/>
        <v>0.998402555910543</v>
      </c>
      <c r="AH320" s="58">
        <v>0.67</v>
      </c>
    </row>
    <row r="321" ht="14.25" spans="1:34">
      <c r="A321" s="57">
        <v>319</v>
      </c>
      <c r="B321" s="61" t="s">
        <v>1106</v>
      </c>
      <c r="C321" s="62" t="s">
        <v>419</v>
      </c>
      <c r="D321" s="56" t="s">
        <v>1139</v>
      </c>
      <c r="E321" s="57">
        <v>32</v>
      </c>
      <c r="F321" s="57">
        <v>1.178</v>
      </c>
      <c r="G321" s="57">
        <v>1.064</v>
      </c>
      <c r="H321" s="58">
        <f t="shared" si="20"/>
        <v>1.14266</v>
      </c>
      <c r="I321" s="57">
        <v>35</v>
      </c>
      <c r="J321" s="57">
        <v>1.413</v>
      </c>
      <c r="K321" s="79">
        <v>1314</v>
      </c>
      <c r="L321" s="79">
        <v>833</v>
      </c>
      <c r="M321" s="57">
        <v>0</v>
      </c>
      <c r="N321" s="67">
        <v>0.05</v>
      </c>
      <c r="O321" s="67">
        <v>20</v>
      </c>
      <c r="P321" s="57">
        <v>0</v>
      </c>
      <c r="Q321" s="57">
        <v>0</v>
      </c>
      <c r="R321" s="57">
        <v>0.4194</v>
      </c>
      <c r="S321" s="57"/>
      <c r="T321" s="57"/>
      <c r="U321" s="57">
        <v>0.7512</v>
      </c>
      <c r="V321" s="57"/>
      <c r="W321" s="57">
        <f t="shared" si="21"/>
        <v>0.7512</v>
      </c>
      <c r="X321" s="57"/>
      <c r="Y321" s="57"/>
      <c r="Z321" s="57">
        <v>0.632</v>
      </c>
      <c r="AA321" s="57"/>
      <c r="AB321" s="57">
        <f t="shared" si="18"/>
        <v>0.632</v>
      </c>
      <c r="AC321" s="57">
        <v>0.5469</v>
      </c>
      <c r="AD321" s="57">
        <v>0.5969</v>
      </c>
      <c r="AE321" s="57">
        <v>0.8469</v>
      </c>
      <c r="AF321" s="72"/>
      <c r="AG321" s="58">
        <f t="shared" si="19"/>
        <v>0</v>
      </c>
      <c r="AH321" s="72"/>
    </row>
    <row r="322" ht="14.25" spans="1:34">
      <c r="A322" s="57">
        <v>320</v>
      </c>
      <c r="B322" s="61" t="s">
        <v>1106</v>
      </c>
      <c r="C322" s="62" t="s">
        <v>419</v>
      </c>
      <c r="D322" s="56" t="s">
        <v>1140</v>
      </c>
      <c r="E322" s="57">
        <v>33</v>
      </c>
      <c r="F322" s="57">
        <v>1.305</v>
      </c>
      <c r="G322" s="57">
        <v>1.14</v>
      </c>
      <c r="H322" s="58">
        <f t="shared" si="20"/>
        <v>1.26585</v>
      </c>
      <c r="I322" s="57">
        <v>36</v>
      </c>
      <c r="J322" s="57">
        <v>1.436</v>
      </c>
      <c r="K322" s="79">
        <v>1402</v>
      </c>
      <c r="L322" s="79">
        <v>806</v>
      </c>
      <c r="M322" s="57">
        <v>0</v>
      </c>
      <c r="N322" s="67">
        <v>0.05</v>
      </c>
      <c r="O322" s="67">
        <v>20</v>
      </c>
      <c r="P322" s="57">
        <v>0</v>
      </c>
      <c r="Q322" s="57">
        <v>0</v>
      </c>
      <c r="R322" s="57">
        <v>0.4194</v>
      </c>
      <c r="S322" s="57"/>
      <c r="T322" s="57"/>
      <c r="U322" s="57">
        <v>0.7512</v>
      </c>
      <c r="V322" s="57"/>
      <c r="W322" s="57">
        <f t="shared" si="21"/>
        <v>0.7512</v>
      </c>
      <c r="X322" s="57"/>
      <c r="Y322" s="57"/>
      <c r="Z322" s="57">
        <v>0.632</v>
      </c>
      <c r="AA322" s="57"/>
      <c r="AB322" s="57">
        <f t="shared" si="18"/>
        <v>0.632</v>
      </c>
      <c r="AC322" s="57">
        <v>0.5469</v>
      </c>
      <c r="AD322" s="57">
        <v>0.5969</v>
      </c>
      <c r="AE322" s="57">
        <v>0.8469</v>
      </c>
      <c r="AF322" s="72"/>
      <c r="AG322" s="58">
        <f t="shared" si="19"/>
        <v>0</v>
      </c>
      <c r="AH322" s="72"/>
    </row>
    <row r="323" ht="14.25" spans="1:34">
      <c r="A323" s="57">
        <v>321</v>
      </c>
      <c r="B323" s="61" t="s">
        <v>1106</v>
      </c>
      <c r="C323" s="62" t="s">
        <v>419</v>
      </c>
      <c r="D323" s="56" t="s">
        <v>1141</v>
      </c>
      <c r="E323" s="57">
        <v>30</v>
      </c>
      <c r="F323" s="57">
        <v>1.283</v>
      </c>
      <c r="G323" s="57">
        <v>1.141</v>
      </c>
      <c r="H323" s="58">
        <f t="shared" si="20"/>
        <v>1.24451</v>
      </c>
      <c r="I323" s="57">
        <v>35</v>
      </c>
      <c r="J323" s="57">
        <v>1.413</v>
      </c>
      <c r="K323" s="79">
        <v>1396</v>
      </c>
      <c r="L323" s="79">
        <v>813</v>
      </c>
      <c r="M323" s="57">
        <v>0</v>
      </c>
      <c r="N323" s="67">
        <v>0.05</v>
      </c>
      <c r="O323" s="67">
        <v>20</v>
      </c>
      <c r="P323" s="57">
        <v>0</v>
      </c>
      <c r="Q323" s="57">
        <v>0</v>
      </c>
      <c r="R323" s="57">
        <v>0.4194</v>
      </c>
      <c r="S323" s="57"/>
      <c r="T323" s="57"/>
      <c r="U323" s="57">
        <v>0.7512</v>
      </c>
      <c r="V323" s="57"/>
      <c r="W323" s="57">
        <f t="shared" si="21"/>
        <v>0.7512</v>
      </c>
      <c r="X323" s="57"/>
      <c r="Y323" s="57"/>
      <c r="Z323" s="57">
        <v>0.632</v>
      </c>
      <c r="AA323" s="57"/>
      <c r="AB323" s="57">
        <f t="shared" si="18"/>
        <v>0.632</v>
      </c>
      <c r="AC323" s="57">
        <v>0.5469</v>
      </c>
      <c r="AD323" s="57">
        <v>0.5969</v>
      </c>
      <c r="AE323" s="57">
        <v>0.8469</v>
      </c>
      <c r="AF323" s="72"/>
      <c r="AG323" s="58">
        <f t="shared" si="19"/>
        <v>0</v>
      </c>
      <c r="AH323" s="72"/>
    </row>
    <row r="324" ht="14.25" spans="1:34">
      <c r="A324" s="57">
        <v>322</v>
      </c>
      <c r="B324" s="61" t="s">
        <v>1106</v>
      </c>
      <c r="C324" s="62" t="s">
        <v>419</v>
      </c>
      <c r="D324" s="56" t="s">
        <v>599</v>
      </c>
      <c r="E324" s="57">
        <v>35</v>
      </c>
      <c r="F324" s="57">
        <v>1.435</v>
      </c>
      <c r="G324" s="57">
        <v>1.245</v>
      </c>
      <c r="H324" s="58">
        <f t="shared" si="20"/>
        <v>1.39195</v>
      </c>
      <c r="I324" s="57">
        <v>35</v>
      </c>
      <c r="J324" s="57">
        <v>1.424</v>
      </c>
      <c r="K324" s="79">
        <v>1456</v>
      </c>
      <c r="L324" s="79">
        <v>786</v>
      </c>
      <c r="M324" s="57">
        <v>0</v>
      </c>
      <c r="N324" s="67">
        <v>0.05</v>
      </c>
      <c r="O324" s="67">
        <v>20</v>
      </c>
      <c r="P324" s="57">
        <v>0</v>
      </c>
      <c r="Q324" s="57">
        <v>0</v>
      </c>
      <c r="R324" s="57">
        <v>0.4194</v>
      </c>
      <c r="S324" s="57"/>
      <c r="T324" s="57"/>
      <c r="U324" s="57">
        <v>0.7512</v>
      </c>
      <c r="V324" s="57"/>
      <c r="W324" s="57">
        <f t="shared" si="21"/>
        <v>0.7512</v>
      </c>
      <c r="X324" s="57"/>
      <c r="Y324" s="57"/>
      <c r="Z324" s="57">
        <v>0.632</v>
      </c>
      <c r="AA324" s="57"/>
      <c r="AB324" s="57">
        <f t="shared" ref="AB324:AB362" si="22">IF(Y324="",Z324,Y324*0.4+Z324*0.6)</f>
        <v>0.632</v>
      </c>
      <c r="AC324" s="57">
        <v>0.5469</v>
      </c>
      <c r="AD324" s="57">
        <v>0.5969</v>
      </c>
      <c r="AE324" s="57">
        <v>0.8469</v>
      </c>
      <c r="AF324" s="72"/>
      <c r="AG324" s="58">
        <f t="shared" ref="AG324:AG362" si="23">1-(W324-AF324)/W324</f>
        <v>0</v>
      </c>
      <c r="AH324" s="72"/>
    </row>
    <row r="325" ht="14.25" spans="1:34">
      <c r="A325" s="57">
        <v>323</v>
      </c>
      <c r="B325" s="61" t="s">
        <v>1106</v>
      </c>
      <c r="C325" s="62" t="s">
        <v>419</v>
      </c>
      <c r="D325" s="56" t="s">
        <v>1142</v>
      </c>
      <c r="E325" s="57">
        <v>30</v>
      </c>
      <c r="F325" s="57">
        <v>1.237</v>
      </c>
      <c r="G325" s="57">
        <v>1.116</v>
      </c>
      <c r="H325" s="58">
        <f t="shared" si="20"/>
        <v>1.19989</v>
      </c>
      <c r="I325" s="57">
        <v>32</v>
      </c>
      <c r="J325" s="57">
        <v>1.349</v>
      </c>
      <c r="K325" s="79">
        <v>1376</v>
      </c>
      <c r="L325" s="79">
        <v>825</v>
      </c>
      <c r="M325" s="57">
        <v>0</v>
      </c>
      <c r="N325" s="67">
        <v>0.05</v>
      </c>
      <c r="O325" s="67">
        <v>20</v>
      </c>
      <c r="P325" s="57">
        <v>0</v>
      </c>
      <c r="Q325" s="57">
        <v>0</v>
      </c>
      <c r="R325" s="57">
        <v>0.4194</v>
      </c>
      <c r="S325" s="57"/>
      <c r="T325" s="57"/>
      <c r="U325" s="57">
        <v>0.7512</v>
      </c>
      <c r="V325" s="57"/>
      <c r="W325" s="57">
        <f t="shared" si="21"/>
        <v>0.7512</v>
      </c>
      <c r="X325" s="57"/>
      <c r="Y325" s="57"/>
      <c r="Z325" s="57">
        <v>0.632</v>
      </c>
      <c r="AA325" s="57"/>
      <c r="AB325" s="57">
        <f t="shared" si="22"/>
        <v>0.632</v>
      </c>
      <c r="AC325" s="57">
        <v>0.5469</v>
      </c>
      <c r="AD325" s="57">
        <v>0.5969</v>
      </c>
      <c r="AE325" s="57">
        <v>0.8469</v>
      </c>
      <c r="AF325" s="72"/>
      <c r="AG325" s="58">
        <f t="shared" si="23"/>
        <v>0</v>
      </c>
      <c r="AH325" s="72"/>
    </row>
    <row r="326" ht="14.25" spans="1:34">
      <c r="A326" s="57">
        <v>324</v>
      </c>
      <c r="B326" s="61" t="s">
        <v>1106</v>
      </c>
      <c r="C326" s="62" t="s">
        <v>419</v>
      </c>
      <c r="D326" s="56" t="s">
        <v>1143</v>
      </c>
      <c r="E326" s="57">
        <v>30</v>
      </c>
      <c r="F326" s="57">
        <v>1.371</v>
      </c>
      <c r="G326" s="57">
        <v>1.215</v>
      </c>
      <c r="H326" s="58">
        <f t="shared" si="20"/>
        <v>1.32987</v>
      </c>
      <c r="I326" s="57">
        <v>33</v>
      </c>
      <c r="J326" s="57">
        <v>1.424</v>
      </c>
      <c r="K326" s="79">
        <v>1462</v>
      </c>
      <c r="L326" s="79">
        <v>789</v>
      </c>
      <c r="M326" s="57">
        <v>0</v>
      </c>
      <c r="N326" s="67">
        <v>0.05</v>
      </c>
      <c r="O326" s="67">
        <v>20</v>
      </c>
      <c r="P326" s="57">
        <v>0</v>
      </c>
      <c r="Q326" s="57">
        <v>0</v>
      </c>
      <c r="R326" s="57">
        <v>0.4194</v>
      </c>
      <c r="S326" s="57"/>
      <c r="T326" s="57"/>
      <c r="U326" s="57">
        <v>0.7512</v>
      </c>
      <c r="V326" s="57"/>
      <c r="W326" s="57">
        <f t="shared" si="21"/>
        <v>0.7512</v>
      </c>
      <c r="X326" s="57"/>
      <c r="Y326" s="57"/>
      <c r="Z326" s="57">
        <v>0.632</v>
      </c>
      <c r="AA326" s="57"/>
      <c r="AB326" s="57">
        <f t="shared" si="22"/>
        <v>0.632</v>
      </c>
      <c r="AC326" s="57">
        <v>0.5469</v>
      </c>
      <c r="AD326" s="57">
        <v>0.5969</v>
      </c>
      <c r="AE326" s="57">
        <v>0.8469</v>
      </c>
      <c r="AF326" s="72"/>
      <c r="AG326" s="58">
        <f t="shared" si="23"/>
        <v>0</v>
      </c>
      <c r="AH326" s="72"/>
    </row>
    <row r="327" ht="14.25" spans="1:34">
      <c r="A327" s="57">
        <v>325</v>
      </c>
      <c r="B327" s="61" t="s">
        <v>1106</v>
      </c>
      <c r="C327" s="62" t="s">
        <v>419</v>
      </c>
      <c r="D327" s="56" t="s">
        <v>1144</v>
      </c>
      <c r="E327" s="57">
        <v>30</v>
      </c>
      <c r="F327" s="57">
        <v>1.364</v>
      </c>
      <c r="G327" s="57">
        <v>1.208</v>
      </c>
      <c r="H327" s="58">
        <f t="shared" si="20"/>
        <v>1.32308</v>
      </c>
      <c r="I327" s="57">
        <v>32</v>
      </c>
      <c r="J327" s="57">
        <v>1.361</v>
      </c>
      <c r="K327" s="79">
        <v>1314</v>
      </c>
      <c r="L327" s="79">
        <v>833</v>
      </c>
      <c r="M327" s="57">
        <v>0</v>
      </c>
      <c r="N327" s="67">
        <v>0.05</v>
      </c>
      <c r="O327" s="67">
        <v>20</v>
      </c>
      <c r="P327" s="57">
        <v>0</v>
      </c>
      <c r="Q327" s="57">
        <v>0</v>
      </c>
      <c r="R327" s="57">
        <v>0.4194</v>
      </c>
      <c r="S327" s="57"/>
      <c r="T327" s="57"/>
      <c r="U327" s="57">
        <v>0.7512</v>
      </c>
      <c r="V327" s="57"/>
      <c r="W327" s="57">
        <f t="shared" si="21"/>
        <v>0.7512</v>
      </c>
      <c r="X327" s="57"/>
      <c r="Y327" s="57"/>
      <c r="Z327" s="57">
        <v>0.632</v>
      </c>
      <c r="AA327" s="57"/>
      <c r="AB327" s="57">
        <f t="shared" si="22"/>
        <v>0.632</v>
      </c>
      <c r="AC327" s="57">
        <v>0.5469</v>
      </c>
      <c r="AD327" s="57">
        <v>0.5969</v>
      </c>
      <c r="AE327" s="57">
        <v>0.8469</v>
      </c>
      <c r="AF327" s="72"/>
      <c r="AG327" s="58">
        <f t="shared" si="23"/>
        <v>0</v>
      </c>
      <c r="AH327" s="72"/>
    </row>
    <row r="328" ht="14.25" spans="1:34">
      <c r="A328" s="57">
        <v>326</v>
      </c>
      <c r="B328" s="61" t="s">
        <v>1106</v>
      </c>
      <c r="C328" s="62" t="s">
        <v>419</v>
      </c>
      <c r="D328" s="56" t="s">
        <v>1145</v>
      </c>
      <c r="E328" s="57">
        <v>30</v>
      </c>
      <c r="F328" s="57">
        <v>1.236</v>
      </c>
      <c r="G328" s="57">
        <v>1.102</v>
      </c>
      <c r="H328" s="58">
        <f t="shared" si="20"/>
        <v>1.19892</v>
      </c>
      <c r="I328" s="57">
        <v>36</v>
      </c>
      <c r="J328" s="57">
        <v>1.422</v>
      </c>
      <c r="K328" s="79">
        <v>1357</v>
      </c>
      <c r="L328" s="79">
        <v>780</v>
      </c>
      <c r="M328" s="57">
        <v>0</v>
      </c>
      <c r="N328" s="67">
        <v>0.05</v>
      </c>
      <c r="O328" s="67">
        <v>20</v>
      </c>
      <c r="P328" s="57">
        <v>0</v>
      </c>
      <c r="Q328" s="57">
        <v>0</v>
      </c>
      <c r="R328" s="57">
        <v>0.4194</v>
      </c>
      <c r="S328" s="57"/>
      <c r="T328" s="57"/>
      <c r="U328" s="57">
        <v>0.7512</v>
      </c>
      <c r="V328" s="57"/>
      <c r="W328" s="57">
        <f t="shared" si="21"/>
        <v>0.7512</v>
      </c>
      <c r="X328" s="57"/>
      <c r="Y328" s="57"/>
      <c r="Z328" s="57">
        <v>0.632</v>
      </c>
      <c r="AA328" s="57"/>
      <c r="AB328" s="57">
        <f t="shared" si="22"/>
        <v>0.632</v>
      </c>
      <c r="AC328" s="57">
        <v>0.5469</v>
      </c>
      <c r="AD328" s="57">
        <v>0.5969</v>
      </c>
      <c r="AE328" s="57">
        <v>0.8469</v>
      </c>
      <c r="AF328" s="72"/>
      <c r="AG328" s="58">
        <f t="shared" si="23"/>
        <v>0</v>
      </c>
      <c r="AH328" s="72"/>
    </row>
    <row r="329" ht="14.25" spans="1:34">
      <c r="A329" s="57">
        <v>327</v>
      </c>
      <c r="B329" s="61" t="s">
        <v>1106</v>
      </c>
      <c r="C329" s="62" t="s">
        <v>419</v>
      </c>
      <c r="D329" s="56" t="s">
        <v>1146</v>
      </c>
      <c r="E329" s="57">
        <v>30</v>
      </c>
      <c r="F329" s="57">
        <v>1.3</v>
      </c>
      <c r="G329" s="57">
        <v>1.167</v>
      </c>
      <c r="H329" s="58">
        <f t="shared" si="20"/>
        <v>1.261</v>
      </c>
      <c r="I329" s="57">
        <v>33</v>
      </c>
      <c r="J329" s="57">
        <v>1.355</v>
      </c>
      <c r="K329" s="79">
        <v>1422</v>
      </c>
      <c r="L329" s="79">
        <v>823</v>
      </c>
      <c r="M329" s="57">
        <v>0</v>
      </c>
      <c r="N329" s="67">
        <v>0.05</v>
      </c>
      <c r="O329" s="67">
        <v>20</v>
      </c>
      <c r="P329" s="57">
        <v>0</v>
      </c>
      <c r="Q329" s="57">
        <v>0</v>
      </c>
      <c r="R329" s="57">
        <v>0.4194</v>
      </c>
      <c r="S329" s="57"/>
      <c r="T329" s="57"/>
      <c r="U329" s="57">
        <v>0.7512</v>
      </c>
      <c r="V329" s="57"/>
      <c r="W329" s="57">
        <f t="shared" si="21"/>
        <v>0.7512</v>
      </c>
      <c r="X329" s="57"/>
      <c r="Y329" s="57"/>
      <c r="Z329" s="57">
        <v>0.632</v>
      </c>
      <c r="AA329" s="57"/>
      <c r="AB329" s="57">
        <f t="shared" si="22"/>
        <v>0.632</v>
      </c>
      <c r="AC329" s="57">
        <v>0.5469</v>
      </c>
      <c r="AD329" s="57">
        <v>0.5969</v>
      </c>
      <c r="AE329" s="57">
        <v>0.8469</v>
      </c>
      <c r="AF329" s="72"/>
      <c r="AG329" s="58">
        <f t="shared" si="23"/>
        <v>0</v>
      </c>
      <c r="AH329" s="72"/>
    </row>
    <row r="330" ht="14.25" spans="1:34">
      <c r="A330" s="57">
        <v>328</v>
      </c>
      <c r="B330" s="61" t="s">
        <v>1106</v>
      </c>
      <c r="C330" s="62" t="s">
        <v>419</v>
      </c>
      <c r="D330" s="56" t="s">
        <v>1147</v>
      </c>
      <c r="E330" s="57">
        <v>33</v>
      </c>
      <c r="F330" s="57">
        <v>1.266</v>
      </c>
      <c r="G330" s="57">
        <v>1.123</v>
      </c>
      <c r="H330" s="58">
        <f t="shared" si="20"/>
        <v>1.22802</v>
      </c>
      <c r="I330" s="57">
        <v>34</v>
      </c>
      <c r="J330" s="57">
        <v>1.407</v>
      </c>
      <c r="K330" s="79">
        <v>1375</v>
      </c>
      <c r="L330" s="79">
        <v>798</v>
      </c>
      <c r="M330" s="57">
        <v>0</v>
      </c>
      <c r="N330" s="67">
        <v>0.05</v>
      </c>
      <c r="O330" s="67">
        <v>20</v>
      </c>
      <c r="P330" s="57">
        <v>0</v>
      </c>
      <c r="Q330" s="57">
        <v>0</v>
      </c>
      <c r="R330" s="57">
        <v>0.4194</v>
      </c>
      <c r="S330" s="57"/>
      <c r="T330" s="57"/>
      <c r="U330" s="57">
        <v>0.7512</v>
      </c>
      <c r="V330" s="57"/>
      <c r="W330" s="57">
        <f t="shared" si="21"/>
        <v>0.7512</v>
      </c>
      <c r="X330" s="57"/>
      <c r="Y330" s="57"/>
      <c r="Z330" s="57">
        <v>0.632</v>
      </c>
      <c r="AA330" s="57"/>
      <c r="AB330" s="57">
        <f t="shared" si="22"/>
        <v>0.632</v>
      </c>
      <c r="AC330" s="57">
        <v>0.5469</v>
      </c>
      <c r="AD330" s="57">
        <v>0.5969</v>
      </c>
      <c r="AE330" s="57">
        <v>0.8469</v>
      </c>
      <c r="AF330" s="72"/>
      <c r="AG330" s="58">
        <f t="shared" si="23"/>
        <v>0</v>
      </c>
      <c r="AH330" s="72"/>
    </row>
    <row r="331" ht="14.25" spans="1:34">
      <c r="A331" s="57">
        <v>329</v>
      </c>
      <c r="B331" s="61" t="s">
        <v>1106</v>
      </c>
      <c r="C331" s="62" t="s">
        <v>419</v>
      </c>
      <c r="D331" s="56" t="s">
        <v>1148</v>
      </c>
      <c r="E331" s="57">
        <v>30</v>
      </c>
      <c r="F331" s="57">
        <v>1.287</v>
      </c>
      <c r="G331" s="57">
        <v>1.158</v>
      </c>
      <c r="H331" s="58">
        <f t="shared" si="20"/>
        <v>1.24839</v>
      </c>
      <c r="I331" s="57">
        <v>33</v>
      </c>
      <c r="J331" s="57">
        <v>1.375</v>
      </c>
      <c r="K331" s="79">
        <v>1419</v>
      </c>
      <c r="L331" s="79">
        <v>821</v>
      </c>
      <c r="M331" s="57">
        <v>0</v>
      </c>
      <c r="N331" s="67">
        <v>0.05</v>
      </c>
      <c r="O331" s="67">
        <v>20</v>
      </c>
      <c r="P331" s="57">
        <v>0</v>
      </c>
      <c r="Q331" s="57">
        <v>0</v>
      </c>
      <c r="R331" s="57">
        <v>0.4194</v>
      </c>
      <c r="S331" s="57"/>
      <c r="T331" s="57"/>
      <c r="U331" s="57">
        <v>0.7512</v>
      </c>
      <c r="V331" s="57"/>
      <c r="W331" s="57">
        <f t="shared" si="21"/>
        <v>0.7512</v>
      </c>
      <c r="X331" s="57"/>
      <c r="Y331" s="57"/>
      <c r="Z331" s="57">
        <v>0.632</v>
      </c>
      <c r="AA331" s="57"/>
      <c r="AB331" s="57">
        <f t="shared" si="22"/>
        <v>0.632</v>
      </c>
      <c r="AC331" s="57">
        <v>0.5469</v>
      </c>
      <c r="AD331" s="57">
        <v>0.5969</v>
      </c>
      <c r="AE331" s="57">
        <v>0.8469</v>
      </c>
      <c r="AF331" s="72"/>
      <c r="AG331" s="58">
        <f t="shared" si="23"/>
        <v>0</v>
      </c>
      <c r="AH331" s="72"/>
    </row>
    <row r="332" ht="14.25" spans="1:34">
      <c r="A332" s="57">
        <v>330</v>
      </c>
      <c r="B332" s="61" t="s">
        <v>1106</v>
      </c>
      <c r="C332" s="62" t="s">
        <v>419</v>
      </c>
      <c r="D332" s="59" t="s">
        <v>1149</v>
      </c>
      <c r="E332" s="57">
        <v>33</v>
      </c>
      <c r="F332" s="57">
        <v>1.215</v>
      </c>
      <c r="G332" s="57">
        <v>1.081</v>
      </c>
      <c r="H332" s="58">
        <f t="shared" si="20"/>
        <v>1.17855</v>
      </c>
      <c r="I332" s="57">
        <v>35</v>
      </c>
      <c r="J332" s="57">
        <v>1.442</v>
      </c>
      <c r="K332" s="79">
        <v>1336</v>
      </c>
      <c r="L332" s="79">
        <v>828</v>
      </c>
      <c r="M332" s="57">
        <v>0</v>
      </c>
      <c r="N332" s="67">
        <v>0.05</v>
      </c>
      <c r="O332" s="67">
        <v>20</v>
      </c>
      <c r="P332" s="57">
        <v>0</v>
      </c>
      <c r="Q332" s="57">
        <v>0</v>
      </c>
      <c r="R332" s="57">
        <v>0.4194</v>
      </c>
      <c r="S332" s="57"/>
      <c r="T332" s="57"/>
      <c r="U332" s="57">
        <v>0.7512</v>
      </c>
      <c r="V332" s="57"/>
      <c r="W332" s="57">
        <f t="shared" si="21"/>
        <v>0.7512</v>
      </c>
      <c r="X332" s="57"/>
      <c r="Y332" s="57"/>
      <c r="Z332" s="57">
        <v>0.632</v>
      </c>
      <c r="AA332" s="57"/>
      <c r="AB332" s="57">
        <f t="shared" si="22"/>
        <v>0.632</v>
      </c>
      <c r="AC332" s="57">
        <v>0.5469</v>
      </c>
      <c r="AD332" s="57">
        <v>0.5969</v>
      </c>
      <c r="AE332" s="57">
        <v>0.8469</v>
      </c>
      <c r="AF332" s="72"/>
      <c r="AG332" s="58">
        <f t="shared" si="23"/>
        <v>0</v>
      </c>
      <c r="AH332" s="72"/>
    </row>
    <row r="333" ht="14.25" spans="1:34">
      <c r="A333" s="57">
        <v>331</v>
      </c>
      <c r="B333" s="61" t="s">
        <v>1106</v>
      </c>
      <c r="C333" s="62" t="s">
        <v>419</v>
      </c>
      <c r="D333" s="59" t="s">
        <v>1150</v>
      </c>
      <c r="E333" s="57">
        <v>30</v>
      </c>
      <c r="F333" s="57">
        <v>1.216</v>
      </c>
      <c r="G333" s="57">
        <v>1.088</v>
      </c>
      <c r="H333" s="58">
        <f t="shared" ref="H333:H362" si="24">F333*0.97</f>
        <v>1.17952</v>
      </c>
      <c r="I333" s="57">
        <v>36</v>
      </c>
      <c r="J333" s="57">
        <v>1.422</v>
      </c>
      <c r="K333" s="79">
        <v>1331</v>
      </c>
      <c r="L333" s="79">
        <v>813</v>
      </c>
      <c r="M333" s="57">
        <v>0</v>
      </c>
      <c r="N333" s="67">
        <v>0.05</v>
      </c>
      <c r="O333" s="67">
        <v>20</v>
      </c>
      <c r="P333" s="57">
        <v>0</v>
      </c>
      <c r="Q333" s="57">
        <v>0</v>
      </c>
      <c r="R333" s="57">
        <v>0.4194</v>
      </c>
      <c r="S333" s="57"/>
      <c r="T333" s="57"/>
      <c r="U333" s="57">
        <v>0.7512</v>
      </c>
      <c r="V333" s="57"/>
      <c r="W333" s="57">
        <f t="shared" si="21"/>
        <v>0.7512</v>
      </c>
      <c r="X333" s="57"/>
      <c r="Y333" s="57"/>
      <c r="Z333" s="57">
        <v>0.632</v>
      </c>
      <c r="AA333" s="57"/>
      <c r="AB333" s="57">
        <f t="shared" si="22"/>
        <v>0.632</v>
      </c>
      <c r="AC333" s="57">
        <v>0.5469</v>
      </c>
      <c r="AD333" s="57">
        <v>0.5969</v>
      </c>
      <c r="AE333" s="57">
        <v>0.8469</v>
      </c>
      <c r="AF333" s="72"/>
      <c r="AG333" s="58">
        <f t="shared" si="23"/>
        <v>0</v>
      </c>
      <c r="AH333" s="72"/>
    </row>
    <row r="334" ht="14.25" spans="1:34">
      <c r="A334" s="57">
        <v>332</v>
      </c>
      <c r="B334" s="61" t="s">
        <v>1106</v>
      </c>
      <c r="C334" s="62" t="s">
        <v>419</v>
      </c>
      <c r="D334" s="56" t="s">
        <v>1151</v>
      </c>
      <c r="E334" s="57">
        <v>33</v>
      </c>
      <c r="F334" s="57">
        <v>1.257</v>
      </c>
      <c r="G334" s="57">
        <v>1.115</v>
      </c>
      <c r="H334" s="58">
        <f t="shared" si="24"/>
        <v>1.21929</v>
      </c>
      <c r="I334" s="57">
        <v>37</v>
      </c>
      <c r="J334" s="57">
        <v>1.45</v>
      </c>
      <c r="K334" s="79">
        <v>1363</v>
      </c>
      <c r="L334" s="79">
        <v>819</v>
      </c>
      <c r="M334" s="57">
        <v>0</v>
      </c>
      <c r="N334" s="67">
        <v>0.05</v>
      </c>
      <c r="O334" s="67">
        <v>20</v>
      </c>
      <c r="P334" s="57">
        <v>0</v>
      </c>
      <c r="Q334" s="57">
        <v>0</v>
      </c>
      <c r="R334" s="57">
        <v>0.4194</v>
      </c>
      <c r="S334" s="57"/>
      <c r="T334" s="57"/>
      <c r="U334" s="57">
        <v>0.7512</v>
      </c>
      <c r="V334" s="57"/>
      <c r="W334" s="57">
        <f t="shared" si="21"/>
        <v>0.7512</v>
      </c>
      <c r="X334" s="57"/>
      <c r="Y334" s="57"/>
      <c r="Z334" s="57">
        <v>0.632</v>
      </c>
      <c r="AA334" s="57"/>
      <c r="AB334" s="57">
        <f t="shared" si="22"/>
        <v>0.632</v>
      </c>
      <c r="AC334" s="57">
        <v>0.5469</v>
      </c>
      <c r="AD334" s="57">
        <v>0.5969</v>
      </c>
      <c r="AE334" s="57">
        <v>0.8469</v>
      </c>
      <c r="AF334" s="72"/>
      <c r="AG334" s="58">
        <f t="shared" si="23"/>
        <v>0</v>
      </c>
      <c r="AH334" s="72"/>
    </row>
    <row r="335" ht="14.25" spans="1:34">
      <c r="A335" s="57">
        <v>333</v>
      </c>
      <c r="B335" s="61" t="s">
        <v>1106</v>
      </c>
      <c r="C335" s="62" t="s">
        <v>419</v>
      </c>
      <c r="D335" s="59" t="s">
        <v>1152</v>
      </c>
      <c r="E335" s="57">
        <v>30</v>
      </c>
      <c r="F335" s="57">
        <v>1.166</v>
      </c>
      <c r="G335" s="57">
        <v>1.07</v>
      </c>
      <c r="H335" s="58">
        <f t="shared" si="24"/>
        <v>1.13102</v>
      </c>
      <c r="I335" s="57">
        <v>32</v>
      </c>
      <c r="J335" s="57">
        <v>1.361</v>
      </c>
      <c r="K335" s="79">
        <v>1308</v>
      </c>
      <c r="L335" s="79">
        <v>811</v>
      </c>
      <c r="M335" s="57">
        <v>0</v>
      </c>
      <c r="N335" s="67">
        <v>0.05</v>
      </c>
      <c r="O335" s="67">
        <v>20</v>
      </c>
      <c r="P335" s="57">
        <v>0</v>
      </c>
      <c r="Q335" s="57">
        <v>0</v>
      </c>
      <c r="R335" s="57">
        <v>0.4194</v>
      </c>
      <c r="S335" s="57"/>
      <c r="T335" s="57"/>
      <c r="U335" s="57">
        <v>0.7512</v>
      </c>
      <c r="V335" s="57"/>
      <c r="W335" s="57">
        <f t="shared" si="21"/>
        <v>0.7512</v>
      </c>
      <c r="X335" s="57"/>
      <c r="Y335" s="57"/>
      <c r="Z335" s="57">
        <v>0.632</v>
      </c>
      <c r="AA335" s="57"/>
      <c r="AB335" s="57">
        <f t="shared" si="22"/>
        <v>0.632</v>
      </c>
      <c r="AC335" s="57">
        <v>0.5469</v>
      </c>
      <c r="AD335" s="57">
        <v>0.5969</v>
      </c>
      <c r="AE335" s="57">
        <v>0.8469</v>
      </c>
      <c r="AF335" s="72"/>
      <c r="AG335" s="58">
        <f t="shared" si="23"/>
        <v>0</v>
      </c>
      <c r="AH335" s="72"/>
    </row>
    <row r="336" ht="14.25" spans="1:34">
      <c r="A336" s="57">
        <v>334</v>
      </c>
      <c r="B336" s="61" t="s">
        <v>1106</v>
      </c>
      <c r="C336" s="62" t="s">
        <v>408</v>
      </c>
      <c r="D336" s="65" t="s">
        <v>597</v>
      </c>
      <c r="E336" s="57">
        <v>20</v>
      </c>
      <c r="F336" s="57">
        <v>1.077</v>
      </c>
      <c r="G336" s="57">
        <v>1.03</v>
      </c>
      <c r="H336" s="58">
        <f t="shared" si="24"/>
        <v>1.04469</v>
      </c>
      <c r="I336" s="57">
        <v>16</v>
      </c>
      <c r="J336" s="57">
        <v>1.036</v>
      </c>
      <c r="K336" s="79">
        <v>1279</v>
      </c>
      <c r="L336" s="79">
        <v>829</v>
      </c>
      <c r="M336" s="57">
        <v>0</v>
      </c>
      <c r="N336" s="67">
        <v>0.2</v>
      </c>
      <c r="O336" s="67">
        <v>20</v>
      </c>
      <c r="P336" s="67">
        <v>0.15</v>
      </c>
      <c r="Q336" s="67">
        <v>5</v>
      </c>
      <c r="R336" s="57">
        <v>0.4396</v>
      </c>
      <c r="S336" s="72"/>
      <c r="T336" s="72"/>
      <c r="U336" s="57">
        <v>0.8014</v>
      </c>
      <c r="V336" s="72"/>
      <c r="W336" s="57">
        <f t="shared" si="21"/>
        <v>0.8014</v>
      </c>
      <c r="X336" s="72"/>
      <c r="Y336" s="72"/>
      <c r="Z336" s="57">
        <v>0.6587</v>
      </c>
      <c r="AA336" s="72"/>
      <c r="AB336" s="57">
        <f t="shared" si="22"/>
        <v>0.6587</v>
      </c>
      <c r="AC336" s="57">
        <v>0.6</v>
      </c>
      <c r="AD336" s="57">
        <v>0.65</v>
      </c>
      <c r="AE336" s="57">
        <v>0.9</v>
      </c>
      <c r="AF336" s="58">
        <v>0.76</v>
      </c>
      <c r="AG336" s="58">
        <f t="shared" si="23"/>
        <v>0.948340404292488</v>
      </c>
      <c r="AH336" s="58">
        <v>0.69</v>
      </c>
    </row>
    <row r="337" ht="14.25" spans="1:34">
      <c r="A337" s="57">
        <v>335</v>
      </c>
      <c r="B337" s="61" t="s">
        <v>1106</v>
      </c>
      <c r="C337" s="62" t="s">
        <v>408</v>
      </c>
      <c r="D337" s="56" t="s">
        <v>1153</v>
      </c>
      <c r="E337" s="57">
        <v>22</v>
      </c>
      <c r="F337" s="57">
        <v>1.028</v>
      </c>
      <c r="G337" s="57">
        <v>0.974</v>
      </c>
      <c r="H337" s="58">
        <f t="shared" si="24"/>
        <v>0.99716</v>
      </c>
      <c r="I337" s="57">
        <v>20</v>
      </c>
      <c r="J337" s="57">
        <v>1.026</v>
      </c>
      <c r="K337" s="79">
        <v>1221</v>
      </c>
      <c r="L337" s="79">
        <v>789</v>
      </c>
      <c r="M337" s="57">
        <v>0</v>
      </c>
      <c r="N337" s="67">
        <v>0.2</v>
      </c>
      <c r="O337" s="67">
        <v>20</v>
      </c>
      <c r="P337" s="57">
        <v>0</v>
      </c>
      <c r="Q337" s="57">
        <v>0</v>
      </c>
      <c r="R337" s="57">
        <v>0.4396</v>
      </c>
      <c r="S337" s="72"/>
      <c r="T337" s="72"/>
      <c r="U337" s="57">
        <v>0.8014</v>
      </c>
      <c r="V337" s="72"/>
      <c r="W337" s="57">
        <f t="shared" si="21"/>
        <v>0.8014</v>
      </c>
      <c r="X337" s="72"/>
      <c r="Y337" s="72"/>
      <c r="Z337" s="57">
        <v>0.6587</v>
      </c>
      <c r="AA337" s="72"/>
      <c r="AB337" s="57">
        <f t="shared" si="22"/>
        <v>0.6587</v>
      </c>
      <c r="AC337" s="57">
        <v>0.6</v>
      </c>
      <c r="AD337" s="57">
        <v>0.65</v>
      </c>
      <c r="AE337" s="57">
        <v>0.9</v>
      </c>
      <c r="AF337" s="72"/>
      <c r="AG337" s="58">
        <f t="shared" si="23"/>
        <v>0</v>
      </c>
      <c r="AH337" s="72"/>
    </row>
    <row r="338" ht="14.25" spans="1:34">
      <c r="A338" s="57">
        <v>336</v>
      </c>
      <c r="B338" s="61" t="s">
        <v>1106</v>
      </c>
      <c r="C338" s="62" t="s">
        <v>408</v>
      </c>
      <c r="D338" s="59" t="s">
        <v>1154</v>
      </c>
      <c r="E338" s="57">
        <v>25</v>
      </c>
      <c r="F338" s="57">
        <v>1.03</v>
      </c>
      <c r="G338" s="57">
        <v>0.975</v>
      </c>
      <c r="H338" s="58">
        <f t="shared" si="24"/>
        <v>0.9991</v>
      </c>
      <c r="I338" s="57">
        <v>20</v>
      </c>
      <c r="J338" s="57">
        <v>1.047</v>
      </c>
      <c r="K338" s="79">
        <v>1219</v>
      </c>
      <c r="L338" s="79">
        <v>794</v>
      </c>
      <c r="M338" s="57">
        <v>0</v>
      </c>
      <c r="N338" s="67">
        <v>0.2</v>
      </c>
      <c r="O338" s="67">
        <v>20</v>
      </c>
      <c r="P338" s="57">
        <v>0</v>
      </c>
      <c r="Q338" s="57">
        <v>0</v>
      </c>
      <c r="R338" s="57">
        <v>0.4396</v>
      </c>
      <c r="S338" s="72"/>
      <c r="T338" s="72"/>
      <c r="U338" s="57">
        <v>0.8014</v>
      </c>
      <c r="V338" s="72"/>
      <c r="W338" s="57">
        <f t="shared" si="21"/>
        <v>0.8014</v>
      </c>
      <c r="X338" s="72"/>
      <c r="Y338" s="72"/>
      <c r="Z338" s="57">
        <v>0.6587</v>
      </c>
      <c r="AA338" s="72"/>
      <c r="AB338" s="57">
        <f t="shared" si="22"/>
        <v>0.6587</v>
      </c>
      <c r="AC338" s="57">
        <v>0.6</v>
      </c>
      <c r="AD338" s="57">
        <v>0.65</v>
      </c>
      <c r="AE338" s="57">
        <v>0.9</v>
      </c>
      <c r="AF338" s="72"/>
      <c r="AG338" s="58">
        <f t="shared" si="23"/>
        <v>0</v>
      </c>
      <c r="AH338" s="72"/>
    </row>
    <row r="339" ht="14.25" spans="1:34">
      <c r="A339" s="57">
        <v>337</v>
      </c>
      <c r="B339" s="61" t="s">
        <v>1106</v>
      </c>
      <c r="C339" s="62" t="s">
        <v>408</v>
      </c>
      <c r="D339" s="56" t="s">
        <v>1155</v>
      </c>
      <c r="E339" s="57">
        <v>23</v>
      </c>
      <c r="F339" s="57">
        <v>1.139</v>
      </c>
      <c r="G339" s="57">
        <v>1.073</v>
      </c>
      <c r="H339" s="58">
        <f t="shared" si="24"/>
        <v>1.10483</v>
      </c>
      <c r="I339" s="57">
        <v>20</v>
      </c>
      <c r="J339" s="57">
        <v>1.084</v>
      </c>
      <c r="K339" s="79">
        <v>1346</v>
      </c>
      <c r="L339" s="79">
        <v>801</v>
      </c>
      <c r="M339" s="57">
        <v>0</v>
      </c>
      <c r="N339" s="67">
        <v>0.2</v>
      </c>
      <c r="O339" s="67">
        <v>20</v>
      </c>
      <c r="P339" s="57">
        <v>0</v>
      </c>
      <c r="Q339" s="57">
        <v>0</v>
      </c>
      <c r="R339" s="57">
        <v>0.4396</v>
      </c>
      <c r="S339" s="72"/>
      <c r="T339" s="72"/>
      <c r="U339" s="57">
        <v>0.8014</v>
      </c>
      <c r="V339" s="72"/>
      <c r="W339" s="57">
        <f t="shared" si="21"/>
        <v>0.8014</v>
      </c>
      <c r="X339" s="72"/>
      <c r="Y339" s="72"/>
      <c r="Z339" s="57">
        <v>0.6587</v>
      </c>
      <c r="AA339" s="72"/>
      <c r="AB339" s="57">
        <f t="shared" si="22"/>
        <v>0.6587</v>
      </c>
      <c r="AC339" s="57">
        <v>0.6</v>
      </c>
      <c r="AD339" s="57">
        <v>0.65</v>
      </c>
      <c r="AE339" s="57">
        <v>0.9</v>
      </c>
      <c r="AF339" s="72"/>
      <c r="AG339" s="58">
        <f t="shared" si="23"/>
        <v>0</v>
      </c>
      <c r="AH339" s="72"/>
    </row>
    <row r="340" ht="14.25" spans="1:34">
      <c r="A340" s="57">
        <v>338</v>
      </c>
      <c r="B340" s="61" t="s">
        <v>1106</v>
      </c>
      <c r="C340" s="62" t="s">
        <v>408</v>
      </c>
      <c r="D340" s="56" t="s">
        <v>1156</v>
      </c>
      <c r="E340" s="57">
        <v>22</v>
      </c>
      <c r="F340" s="57">
        <v>1.122</v>
      </c>
      <c r="G340" s="57">
        <v>1.065</v>
      </c>
      <c r="H340" s="58">
        <f t="shared" si="24"/>
        <v>1.08834</v>
      </c>
      <c r="I340" s="57">
        <v>17</v>
      </c>
      <c r="J340" s="57">
        <v>1.062</v>
      </c>
      <c r="K340" s="79">
        <v>1330</v>
      </c>
      <c r="L340" s="79">
        <v>815</v>
      </c>
      <c r="M340" s="57">
        <v>0</v>
      </c>
      <c r="N340" s="67">
        <v>0.2</v>
      </c>
      <c r="O340" s="67">
        <v>20</v>
      </c>
      <c r="P340" s="57">
        <v>0</v>
      </c>
      <c r="Q340" s="57">
        <v>0</v>
      </c>
      <c r="R340" s="57">
        <v>0.4396</v>
      </c>
      <c r="S340" s="72"/>
      <c r="T340" s="72"/>
      <c r="U340" s="57">
        <v>0.8014</v>
      </c>
      <c r="V340" s="72"/>
      <c r="W340" s="57">
        <f t="shared" ref="W340:W362" si="25">IF(T340="",U340,T340*40%+U340*60%)</f>
        <v>0.8014</v>
      </c>
      <c r="X340" s="72"/>
      <c r="Y340" s="72"/>
      <c r="Z340" s="57">
        <v>0.6587</v>
      </c>
      <c r="AA340" s="72"/>
      <c r="AB340" s="57">
        <f t="shared" si="22"/>
        <v>0.6587</v>
      </c>
      <c r="AC340" s="57">
        <v>0.6</v>
      </c>
      <c r="AD340" s="57">
        <v>0.65</v>
      </c>
      <c r="AE340" s="57">
        <v>0.9</v>
      </c>
      <c r="AF340" s="72"/>
      <c r="AG340" s="58">
        <f t="shared" si="23"/>
        <v>0</v>
      </c>
      <c r="AH340" s="72"/>
    </row>
    <row r="341" ht="14.25" spans="1:34">
      <c r="A341" s="57">
        <v>339</v>
      </c>
      <c r="B341" s="61" t="s">
        <v>1106</v>
      </c>
      <c r="C341" s="62" t="s">
        <v>408</v>
      </c>
      <c r="D341" s="56" t="s">
        <v>1157</v>
      </c>
      <c r="E341" s="57">
        <v>20</v>
      </c>
      <c r="F341" s="57">
        <v>1.004</v>
      </c>
      <c r="G341" s="57">
        <v>0.965</v>
      </c>
      <c r="H341" s="58">
        <f t="shared" si="24"/>
        <v>0.97388</v>
      </c>
      <c r="I341" s="57">
        <v>15</v>
      </c>
      <c r="J341" s="57">
        <v>0.973</v>
      </c>
      <c r="K341" s="79">
        <v>1214</v>
      </c>
      <c r="L341" s="79">
        <v>790</v>
      </c>
      <c r="M341" s="57">
        <v>0</v>
      </c>
      <c r="N341" s="67">
        <v>0.2</v>
      </c>
      <c r="O341" s="67">
        <v>20</v>
      </c>
      <c r="P341" s="57">
        <v>0</v>
      </c>
      <c r="Q341" s="57">
        <v>0</v>
      </c>
      <c r="R341" s="57">
        <v>0.4396</v>
      </c>
      <c r="S341" s="72"/>
      <c r="T341" s="72"/>
      <c r="U341" s="57">
        <v>0.8014</v>
      </c>
      <c r="V341" s="72"/>
      <c r="W341" s="57">
        <f t="shared" si="25"/>
        <v>0.8014</v>
      </c>
      <c r="X341" s="72"/>
      <c r="Y341" s="72"/>
      <c r="Z341" s="57">
        <v>0.6587</v>
      </c>
      <c r="AA341" s="72"/>
      <c r="AB341" s="57">
        <f t="shared" si="22"/>
        <v>0.6587</v>
      </c>
      <c r="AC341" s="57">
        <v>0.6</v>
      </c>
      <c r="AD341" s="57">
        <v>0.65</v>
      </c>
      <c r="AE341" s="57">
        <v>0.9</v>
      </c>
      <c r="AF341" s="72"/>
      <c r="AG341" s="58">
        <f t="shared" si="23"/>
        <v>0</v>
      </c>
      <c r="AH341" s="72"/>
    </row>
    <row r="342" ht="14.25" spans="1:34">
      <c r="A342" s="57">
        <v>340</v>
      </c>
      <c r="B342" s="61" t="s">
        <v>1106</v>
      </c>
      <c r="C342" s="62" t="s">
        <v>408</v>
      </c>
      <c r="D342" s="56" t="s">
        <v>1158</v>
      </c>
      <c r="E342" s="57">
        <v>18</v>
      </c>
      <c r="F342" s="57">
        <v>0.995</v>
      </c>
      <c r="G342" s="57">
        <v>0.96</v>
      </c>
      <c r="H342" s="58">
        <f t="shared" si="24"/>
        <v>0.96515</v>
      </c>
      <c r="I342" s="57">
        <v>15</v>
      </c>
      <c r="J342" s="57">
        <v>0.962</v>
      </c>
      <c r="K342" s="79">
        <v>1194</v>
      </c>
      <c r="L342" s="79">
        <v>794</v>
      </c>
      <c r="M342" s="57">
        <v>0</v>
      </c>
      <c r="N342" s="67">
        <v>0.2</v>
      </c>
      <c r="O342" s="67">
        <v>20</v>
      </c>
      <c r="P342" s="57">
        <v>0</v>
      </c>
      <c r="Q342" s="57">
        <v>0</v>
      </c>
      <c r="R342" s="57">
        <v>0.4396</v>
      </c>
      <c r="S342" s="72"/>
      <c r="T342" s="72"/>
      <c r="U342" s="57">
        <v>0.8014</v>
      </c>
      <c r="V342" s="72"/>
      <c r="W342" s="57">
        <f t="shared" si="25"/>
        <v>0.8014</v>
      </c>
      <c r="X342" s="72"/>
      <c r="Y342" s="72"/>
      <c r="Z342" s="57">
        <v>0.6587</v>
      </c>
      <c r="AA342" s="72"/>
      <c r="AB342" s="57">
        <f t="shared" si="22"/>
        <v>0.6587</v>
      </c>
      <c r="AC342" s="57">
        <v>0.6</v>
      </c>
      <c r="AD342" s="57">
        <v>0.65</v>
      </c>
      <c r="AE342" s="57">
        <v>0.9</v>
      </c>
      <c r="AF342" s="72"/>
      <c r="AG342" s="58">
        <f t="shared" si="23"/>
        <v>0</v>
      </c>
      <c r="AH342" s="72"/>
    </row>
    <row r="343" ht="14.25" spans="1:34">
      <c r="A343" s="57">
        <v>341</v>
      </c>
      <c r="B343" s="61" t="s">
        <v>1106</v>
      </c>
      <c r="C343" s="62" t="s">
        <v>408</v>
      </c>
      <c r="D343" s="56" t="s">
        <v>596</v>
      </c>
      <c r="E343" s="57">
        <v>20</v>
      </c>
      <c r="F343" s="57">
        <v>1.037</v>
      </c>
      <c r="G343" s="57">
        <v>0.998</v>
      </c>
      <c r="H343" s="58">
        <f t="shared" si="24"/>
        <v>1.00589</v>
      </c>
      <c r="I343" s="57">
        <v>16</v>
      </c>
      <c r="J343" s="57">
        <v>1.059</v>
      </c>
      <c r="K343" s="79">
        <v>1247</v>
      </c>
      <c r="L343" s="79">
        <v>795</v>
      </c>
      <c r="M343" s="57">
        <v>0</v>
      </c>
      <c r="N343" s="67">
        <v>0.2</v>
      </c>
      <c r="O343" s="67">
        <v>20</v>
      </c>
      <c r="P343" s="57">
        <v>0</v>
      </c>
      <c r="Q343" s="57">
        <v>0</v>
      </c>
      <c r="R343" s="57">
        <v>0.4396</v>
      </c>
      <c r="S343" s="72"/>
      <c r="T343" s="72"/>
      <c r="U343" s="57">
        <v>0.8014</v>
      </c>
      <c r="V343" s="72"/>
      <c r="W343" s="57">
        <f t="shared" si="25"/>
        <v>0.8014</v>
      </c>
      <c r="X343" s="72"/>
      <c r="Y343" s="72"/>
      <c r="Z343" s="57">
        <v>0.6587</v>
      </c>
      <c r="AA343" s="72"/>
      <c r="AB343" s="57">
        <f t="shared" si="22"/>
        <v>0.6587</v>
      </c>
      <c r="AC343" s="57">
        <v>0.6</v>
      </c>
      <c r="AD343" s="57">
        <v>0.65</v>
      </c>
      <c r="AE343" s="57">
        <v>0.9</v>
      </c>
      <c r="AF343" s="72"/>
      <c r="AG343" s="58">
        <f t="shared" si="23"/>
        <v>0</v>
      </c>
      <c r="AH343" s="72"/>
    </row>
    <row r="344" ht="14.25" spans="1:34">
      <c r="A344" s="57">
        <v>342</v>
      </c>
      <c r="B344" s="61" t="s">
        <v>1106</v>
      </c>
      <c r="C344" s="62" t="s">
        <v>408</v>
      </c>
      <c r="D344" s="56" t="s">
        <v>1159</v>
      </c>
      <c r="E344" s="57">
        <v>20</v>
      </c>
      <c r="F344" s="57">
        <v>1.046</v>
      </c>
      <c r="G344" s="57">
        <v>1.007</v>
      </c>
      <c r="H344" s="58">
        <f t="shared" si="24"/>
        <v>1.01462</v>
      </c>
      <c r="I344" s="57">
        <v>16</v>
      </c>
      <c r="J344" s="57">
        <v>1.037</v>
      </c>
      <c r="K344" s="79">
        <v>1273</v>
      </c>
      <c r="L344" s="79">
        <v>807</v>
      </c>
      <c r="M344" s="57">
        <v>0</v>
      </c>
      <c r="N344" s="67">
        <v>0.2</v>
      </c>
      <c r="O344" s="67">
        <v>20</v>
      </c>
      <c r="P344" s="57">
        <v>0</v>
      </c>
      <c r="Q344" s="57">
        <v>0</v>
      </c>
      <c r="R344" s="57">
        <v>0.4396</v>
      </c>
      <c r="S344" s="72"/>
      <c r="T344" s="72"/>
      <c r="U344" s="57">
        <v>0.8014</v>
      </c>
      <c r="V344" s="72"/>
      <c r="W344" s="57">
        <f t="shared" si="25"/>
        <v>0.8014</v>
      </c>
      <c r="X344" s="72"/>
      <c r="Y344" s="72"/>
      <c r="Z344" s="57">
        <v>0.6587</v>
      </c>
      <c r="AA344" s="72"/>
      <c r="AB344" s="57">
        <f t="shared" si="22"/>
        <v>0.6587</v>
      </c>
      <c r="AC344" s="57">
        <v>0.6</v>
      </c>
      <c r="AD344" s="57">
        <v>0.65</v>
      </c>
      <c r="AE344" s="57">
        <v>0.9</v>
      </c>
      <c r="AF344" s="72"/>
      <c r="AG344" s="58">
        <f t="shared" si="23"/>
        <v>0</v>
      </c>
      <c r="AH344" s="72"/>
    </row>
    <row r="345" ht="14.25" spans="1:34">
      <c r="A345" s="57">
        <v>343</v>
      </c>
      <c r="B345" s="61" t="s">
        <v>1106</v>
      </c>
      <c r="C345" s="62" t="s">
        <v>408</v>
      </c>
      <c r="D345" s="56" t="s">
        <v>1160</v>
      </c>
      <c r="E345" s="57">
        <v>20</v>
      </c>
      <c r="F345" s="57">
        <v>1.139</v>
      </c>
      <c r="G345" s="57">
        <v>1.089</v>
      </c>
      <c r="H345" s="58">
        <f t="shared" si="24"/>
        <v>1.10483</v>
      </c>
      <c r="I345" s="57">
        <v>16</v>
      </c>
      <c r="J345" s="57">
        <v>1.049</v>
      </c>
      <c r="K345" s="79">
        <v>1361</v>
      </c>
      <c r="L345" s="79">
        <v>796</v>
      </c>
      <c r="M345" s="57">
        <v>0</v>
      </c>
      <c r="N345" s="67">
        <v>0.2</v>
      </c>
      <c r="O345" s="67">
        <v>20</v>
      </c>
      <c r="P345" s="57">
        <v>0</v>
      </c>
      <c r="Q345" s="57">
        <v>0</v>
      </c>
      <c r="R345" s="57">
        <v>0.4396</v>
      </c>
      <c r="S345" s="72"/>
      <c r="T345" s="72"/>
      <c r="U345" s="57">
        <v>0.8014</v>
      </c>
      <c r="V345" s="72"/>
      <c r="W345" s="57">
        <f t="shared" si="25"/>
        <v>0.8014</v>
      </c>
      <c r="X345" s="72"/>
      <c r="Y345" s="72"/>
      <c r="Z345" s="57">
        <v>0.6587</v>
      </c>
      <c r="AA345" s="72"/>
      <c r="AB345" s="57">
        <f t="shared" si="22"/>
        <v>0.6587</v>
      </c>
      <c r="AC345" s="57">
        <v>0.6</v>
      </c>
      <c r="AD345" s="57">
        <v>0.65</v>
      </c>
      <c r="AE345" s="57">
        <v>0.9</v>
      </c>
      <c r="AF345" s="72"/>
      <c r="AG345" s="58">
        <f t="shared" si="23"/>
        <v>0</v>
      </c>
      <c r="AH345" s="72"/>
    </row>
    <row r="346" ht="14.25" spans="1:34">
      <c r="A346" s="57">
        <v>344</v>
      </c>
      <c r="B346" s="61" t="s">
        <v>1106</v>
      </c>
      <c r="C346" s="62" t="s">
        <v>408</v>
      </c>
      <c r="D346" s="56" t="s">
        <v>1161</v>
      </c>
      <c r="E346" s="57">
        <v>20</v>
      </c>
      <c r="F346" s="57">
        <v>1.065</v>
      </c>
      <c r="G346" s="57">
        <v>1.018</v>
      </c>
      <c r="H346" s="58">
        <f t="shared" si="24"/>
        <v>1.03305</v>
      </c>
      <c r="I346" s="57">
        <v>15</v>
      </c>
      <c r="J346" s="57">
        <v>1.025</v>
      </c>
      <c r="K346" s="79">
        <v>1272</v>
      </c>
      <c r="L346" s="79">
        <v>803</v>
      </c>
      <c r="M346" s="57">
        <v>0</v>
      </c>
      <c r="N346" s="67">
        <v>0.2</v>
      </c>
      <c r="O346" s="67">
        <v>20</v>
      </c>
      <c r="P346" s="57">
        <v>0</v>
      </c>
      <c r="Q346" s="57">
        <v>0</v>
      </c>
      <c r="R346" s="57">
        <v>0.4396</v>
      </c>
      <c r="S346" s="72"/>
      <c r="T346" s="72"/>
      <c r="U346" s="57">
        <v>0.8014</v>
      </c>
      <c r="V346" s="72"/>
      <c r="W346" s="57">
        <f t="shared" si="25"/>
        <v>0.8014</v>
      </c>
      <c r="X346" s="72"/>
      <c r="Y346" s="72"/>
      <c r="Z346" s="57">
        <v>0.6587</v>
      </c>
      <c r="AA346" s="72"/>
      <c r="AB346" s="57">
        <f t="shared" si="22"/>
        <v>0.6587</v>
      </c>
      <c r="AC346" s="57">
        <v>0.6</v>
      </c>
      <c r="AD346" s="57">
        <v>0.65</v>
      </c>
      <c r="AE346" s="57">
        <v>0.9</v>
      </c>
      <c r="AF346" s="72"/>
      <c r="AG346" s="58">
        <f t="shared" si="23"/>
        <v>0</v>
      </c>
      <c r="AH346" s="72"/>
    </row>
    <row r="347" ht="14.25" spans="1:34">
      <c r="A347" s="57">
        <v>345</v>
      </c>
      <c r="B347" s="61" t="s">
        <v>1106</v>
      </c>
      <c r="C347" s="62" t="s">
        <v>390</v>
      </c>
      <c r="D347" s="65" t="s">
        <v>589</v>
      </c>
      <c r="E347" s="57">
        <v>25</v>
      </c>
      <c r="F347" s="57">
        <v>1.08</v>
      </c>
      <c r="G347" s="57">
        <v>1.012</v>
      </c>
      <c r="H347" s="58">
        <f t="shared" si="24"/>
        <v>1.0476</v>
      </c>
      <c r="I347" s="57">
        <v>27</v>
      </c>
      <c r="J347" s="57">
        <v>1.064</v>
      </c>
      <c r="K347" s="79">
        <v>1253</v>
      </c>
      <c r="L347" s="79">
        <v>828</v>
      </c>
      <c r="M347" s="57">
        <v>0</v>
      </c>
      <c r="N347" s="57">
        <v>0</v>
      </c>
      <c r="O347" s="57">
        <v>0</v>
      </c>
      <c r="P347" s="57">
        <v>0</v>
      </c>
      <c r="Q347" s="57">
        <v>0</v>
      </c>
      <c r="R347" s="57">
        <v>0.4069</v>
      </c>
      <c r="S347" s="57"/>
      <c r="T347" s="57">
        <v>1.2838</v>
      </c>
      <c r="U347" s="57">
        <v>0.8512</v>
      </c>
      <c r="V347" s="57">
        <v>0.5287</v>
      </c>
      <c r="W347" s="57">
        <f t="shared" si="25"/>
        <v>1.02424</v>
      </c>
      <c r="X347" s="57"/>
      <c r="Y347" s="57">
        <v>0.9701</v>
      </c>
      <c r="Z347" s="57">
        <v>0.6474</v>
      </c>
      <c r="AA347" s="57">
        <v>0.4069</v>
      </c>
      <c r="AB347" s="57">
        <f t="shared" si="22"/>
        <v>0.77648</v>
      </c>
      <c r="AC347" s="57">
        <v>0.5653</v>
      </c>
      <c r="AD347" s="57"/>
      <c r="AE347" s="57"/>
      <c r="AF347" s="58">
        <v>0.82</v>
      </c>
      <c r="AG347" s="58">
        <f t="shared" si="23"/>
        <v>0.800593610872452</v>
      </c>
      <c r="AH347" s="58">
        <v>0.88</v>
      </c>
    </row>
    <row r="348" ht="14.25" spans="1:34">
      <c r="A348" s="57">
        <v>346</v>
      </c>
      <c r="B348" s="61" t="s">
        <v>1106</v>
      </c>
      <c r="C348" s="62" t="s">
        <v>390</v>
      </c>
      <c r="D348" s="56" t="s">
        <v>1162</v>
      </c>
      <c r="E348" s="57">
        <v>25</v>
      </c>
      <c r="F348" s="57">
        <v>1.048</v>
      </c>
      <c r="G348" s="57">
        <v>0.985</v>
      </c>
      <c r="H348" s="58">
        <f t="shared" si="24"/>
        <v>1.01656</v>
      </c>
      <c r="I348" s="57">
        <v>26</v>
      </c>
      <c r="J348" s="57">
        <v>1.162</v>
      </c>
      <c r="K348" s="79">
        <v>1225</v>
      </c>
      <c r="L348" s="79">
        <v>812</v>
      </c>
      <c r="M348" s="57">
        <v>0</v>
      </c>
      <c r="N348" s="57">
        <v>0</v>
      </c>
      <c r="O348" s="57">
        <v>0</v>
      </c>
      <c r="P348" s="57">
        <v>0</v>
      </c>
      <c r="Q348" s="57">
        <v>0</v>
      </c>
      <c r="R348" s="57">
        <v>0.4069</v>
      </c>
      <c r="S348" s="57"/>
      <c r="T348" s="57">
        <v>1.2838</v>
      </c>
      <c r="U348" s="57">
        <v>0.8512</v>
      </c>
      <c r="V348" s="57">
        <v>0.5287</v>
      </c>
      <c r="W348" s="57">
        <f t="shared" si="25"/>
        <v>1.02424</v>
      </c>
      <c r="X348" s="57"/>
      <c r="Y348" s="57">
        <v>0.9701</v>
      </c>
      <c r="Z348" s="57">
        <v>0.6474</v>
      </c>
      <c r="AA348" s="57">
        <v>0.4069</v>
      </c>
      <c r="AB348" s="57">
        <f t="shared" si="22"/>
        <v>0.77648</v>
      </c>
      <c r="AC348" s="57">
        <v>0.5653</v>
      </c>
      <c r="AD348" s="57"/>
      <c r="AE348" s="57"/>
      <c r="AF348" s="72"/>
      <c r="AG348" s="58">
        <f t="shared" si="23"/>
        <v>0</v>
      </c>
      <c r="AH348" s="72"/>
    </row>
    <row r="349" ht="14.25" spans="1:34">
      <c r="A349" s="57">
        <v>347</v>
      </c>
      <c r="B349" s="61" t="s">
        <v>1106</v>
      </c>
      <c r="C349" s="62" t="s">
        <v>390</v>
      </c>
      <c r="D349" s="56" t="s">
        <v>1163</v>
      </c>
      <c r="E349" s="57">
        <v>25</v>
      </c>
      <c r="F349" s="57">
        <v>1.077</v>
      </c>
      <c r="G349" s="57">
        <v>1.008</v>
      </c>
      <c r="H349" s="58">
        <f t="shared" si="24"/>
        <v>1.04469</v>
      </c>
      <c r="I349" s="57">
        <v>25</v>
      </c>
      <c r="J349" s="57">
        <v>1.107</v>
      </c>
      <c r="K349" s="79">
        <v>1224</v>
      </c>
      <c r="L349" s="79">
        <v>721</v>
      </c>
      <c r="M349" s="57">
        <v>0</v>
      </c>
      <c r="N349" s="57">
        <v>0</v>
      </c>
      <c r="O349" s="57">
        <v>0</v>
      </c>
      <c r="P349" s="57">
        <v>0</v>
      </c>
      <c r="Q349" s="57">
        <v>0</v>
      </c>
      <c r="R349" s="57">
        <v>0.4069</v>
      </c>
      <c r="S349" s="57"/>
      <c r="T349" s="57">
        <v>1.2838</v>
      </c>
      <c r="U349" s="57">
        <v>0.8512</v>
      </c>
      <c r="V349" s="57">
        <v>0.5287</v>
      </c>
      <c r="W349" s="57">
        <f t="shared" si="25"/>
        <v>1.02424</v>
      </c>
      <c r="X349" s="57"/>
      <c r="Y349" s="57">
        <v>0.9701</v>
      </c>
      <c r="Z349" s="57">
        <v>0.6474</v>
      </c>
      <c r="AA349" s="57">
        <v>0.4069</v>
      </c>
      <c r="AB349" s="57">
        <f t="shared" si="22"/>
        <v>0.77648</v>
      </c>
      <c r="AC349" s="57">
        <v>0.5653</v>
      </c>
      <c r="AD349" s="57"/>
      <c r="AE349" s="57"/>
      <c r="AF349" s="72"/>
      <c r="AG349" s="58">
        <f t="shared" si="23"/>
        <v>0</v>
      </c>
      <c r="AH349" s="72"/>
    </row>
    <row r="350" ht="14.25" spans="1:34">
      <c r="A350" s="57">
        <v>348</v>
      </c>
      <c r="B350" s="61" t="s">
        <v>1106</v>
      </c>
      <c r="C350" s="62" t="s">
        <v>390</v>
      </c>
      <c r="D350" s="56" t="s">
        <v>1164</v>
      </c>
      <c r="E350" s="57">
        <v>23</v>
      </c>
      <c r="F350" s="57">
        <v>1.038</v>
      </c>
      <c r="G350" s="57">
        <v>0.977</v>
      </c>
      <c r="H350" s="58">
        <f t="shared" si="24"/>
        <v>1.00686</v>
      </c>
      <c r="I350" s="57">
        <v>25</v>
      </c>
      <c r="J350" s="57">
        <v>1.127</v>
      </c>
      <c r="K350" s="79">
        <v>1211</v>
      </c>
      <c r="L350" s="79">
        <v>781</v>
      </c>
      <c r="M350" s="57">
        <v>0</v>
      </c>
      <c r="N350" s="57">
        <v>0</v>
      </c>
      <c r="O350" s="57">
        <v>0</v>
      </c>
      <c r="P350" s="57">
        <v>0</v>
      </c>
      <c r="Q350" s="57">
        <v>0</v>
      </c>
      <c r="R350" s="57">
        <v>0.4069</v>
      </c>
      <c r="S350" s="57"/>
      <c r="T350" s="57">
        <v>1.2838</v>
      </c>
      <c r="U350" s="57">
        <v>0.8512</v>
      </c>
      <c r="V350" s="57">
        <v>0.5287</v>
      </c>
      <c r="W350" s="57">
        <f t="shared" si="25"/>
        <v>1.02424</v>
      </c>
      <c r="X350" s="57"/>
      <c r="Y350" s="57">
        <v>0.9701</v>
      </c>
      <c r="Z350" s="57">
        <v>0.6474</v>
      </c>
      <c r="AA350" s="57">
        <v>0.4069</v>
      </c>
      <c r="AB350" s="57">
        <f t="shared" si="22"/>
        <v>0.77648</v>
      </c>
      <c r="AC350" s="57">
        <v>0.5653</v>
      </c>
      <c r="AD350" s="57"/>
      <c r="AE350" s="57"/>
      <c r="AF350" s="72"/>
      <c r="AG350" s="58">
        <f t="shared" si="23"/>
        <v>0</v>
      </c>
      <c r="AH350" s="72"/>
    </row>
    <row r="351" ht="14.25" spans="1:34">
      <c r="A351" s="57">
        <v>349</v>
      </c>
      <c r="B351" s="61" t="s">
        <v>1106</v>
      </c>
      <c r="C351" s="62" t="s">
        <v>390</v>
      </c>
      <c r="D351" s="56" t="s">
        <v>1165</v>
      </c>
      <c r="E351" s="57">
        <v>27</v>
      </c>
      <c r="F351" s="57">
        <v>1.13</v>
      </c>
      <c r="G351" s="57">
        <v>1.05</v>
      </c>
      <c r="H351" s="58">
        <f t="shared" si="24"/>
        <v>1.0961</v>
      </c>
      <c r="I351" s="57">
        <v>25</v>
      </c>
      <c r="J351" s="57">
        <v>1.13</v>
      </c>
      <c r="K351" s="79">
        <v>1295</v>
      </c>
      <c r="L351" s="79">
        <v>827</v>
      </c>
      <c r="M351" s="57">
        <v>0</v>
      </c>
      <c r="N351" s="57">
        <v>0</v>
      </c>
      <c r="O351" s="57">
        <v>0</v>
      </c>
      <c r="P351" s="57">
        <v>0</v>
      </c>
      <c r="Q351" s="57">
        <v>0</v>
      </c>
      <c r="R351" s="57">
        <v>0.4069</v>
      </c>
      <c r="S351" s="57"/>
      <c r="T351" s="57">
        <v>1.2838</v>
      </c>
      <c r="U351" s="57">
        <v>0.8512</v>
      </c>
      <c r="V351" s="57">
        <v>0.5287</v>
      </c>
      <c r="W351" s="57">
        <f t="shared" si="25"/>
        <v>1.02424</v>
      </c>
      <c r="X351" s="57"/>
      <c r="Y351" s="57">
        <v>0.9701</v>
      </c>
      <c r="Z351" s="57">
        <v>0.6474</v>
      </c>
      <c r="AA351" s="57">
        <v>0.4069</v>
      </c>
      <c r="AB351" s="57">
        <f t="shared" si="22"/>
        <v>0.77648</v>
      </c>
      <c r="AC351" s="57">
        <v>0.5653</v>
      </c>
      <c r="AD351" s="57"/>
      <c r="AE351" s="57"/>
      <c r="AF351" s="72"/>
      <c r="AG351" s="58">
        <f t="shared" si="23"/>
        <v>0</v>
      </c>
      <c r="AH351" s="72"/>
    </row>
    <row r="352" ht="14.25" spans="1:34">
      <c r="A352" s="57">
        <v>350</v>
      </c>
      <c r="B352" s="61" t="s">
        <v>1106</v>
      </c>
      <c r="C352" s="62" t="s">
        <v>390</v>
      </c>
      <c r="D352" s="56" t="s">
        <v>1166</v>
      </c>
      <c r="E352" s="57">
        <v>25</v>
      </c>
      <c r="F352" s="57">
        <v>1.046</v>
      </c>
      <c r="G352" s="57">
        <v>0.976</v>
      </c>
      <c r="H352" s="58">
        <f t="shared" si="24"/>
        <v>1.01462</v>
      </c>
      <c r="I352" s="57">
        <v>23</v>
      </c>
      <c r="J352" s="57">
        <v>1.115</v>
      </c>
      <c r="K352" s="79">
        <v>1216</v>
      </c>
      <c r="L352" s="79">
        <v>733</v>
      </c>
      <c r="M352" s="57">
        <v>0</v>
      </c>
      <c r="N352" s="57">
        <v>0</v>
      </c>
      <c r="O352" s="57">
        <v>0</v>
      </c>
      <c r="P352" s="67">
        <v>0.25</v>
      </c>
      <c r="Q352" s="67">
        <v>10</v>
      </c>
      <c r="R352" s="57">
        <v>0.4069</v>
      </c>
      <c r="S352" s="57"/>
      <c r="T352" s="57">
        <v>1.2838</v>
      </c>
      <c r="U352" s="57">
        <v>0.8512</v>
      </c>
      <c r="V352" s="57">
        <v>0.5287</v>
      </c>
      <c r="W352" s="57">
        <f t="shared" si="25"/>
        <v>1.02424</v>
      </c>
      <c r="X352" s="57"/>
      <c r="Y352" s="57">
        <v>0.9701</v>
      </c>
      <c r="Z352" s="57">
        <v>0.6474</v>
      </c>
      <c r="AA352" s="57">
        <v>0.4069</v>
      </c>
      <c r="AB352" s="57">
        <f t="shared" si="22"/>
        <v>0.77648</v>
      </c>
      <c r="AC352" s="57">
        <v>0.5653</v>
      </c>
      <c r="AD352" s="57"/>
      <c r="AE352" s="57"/>
      <c r="AF352" s="58">
        <v>0.93</v>
      </c>
      <c r="AG352" s="58">
        <f t="shared" si="23"/>
        <v>0.907990314769976</v>
      </c>
      <c r="AH352" s="58">
        <v>0.88</v>
      </c>
    </row>
    <row r="353" ht="14.25" spans="1:34">
      <c r="A353" s="52">
        <v>351</v>
      </c>
      <c r="B353" s="61" t="s">
        <v>1106</v>
      </c>
      <c r="C353" s="62" t="s">
        <v>390</v>
      </c>
      <c r="D353" s="64" t="s">
        <v>1167</v>
      </c>
      <c r="E353" s="57">
        <v>22</v>
      </c>
      <c r="F353" s="52">
        <v>1.032</v>
      </c>
      <c r="G353" s="57">
        <v>0.971</v>
      </c>
      <c r="H353" s="58">
        <f t="shared" si="24"/>
        <v>1.00104</v>
      </c>
      <c r="I353" s="52">
        <v>22</v>
      </c>
      <c r="J353" s="52">
        <v>1.048</v>
      </c>
      <c r="K353" s="79">
        <v>1201</v>
      </c>
      <c r="L353" s="79">
        <v>762</v>
      </c>
      <c r="M353" s="57">
        <v>0</v>
      </c>
      <c r="N353" s="57">
        <v>0</v>
      </c>
      <c r="O353" s="57">
        <v>0</v>
      </c>
      <c r="P353" s="57">
        <v>0</v>
      </c>
      <c r="Q353" s="57">
        <v>0</v>
      </c>
      <c r="R353" s="57">
        <v>0.4069</v>
      </c>
      <c r="S353" s="57"/>
      <c r="T353" s="57">
        <v>1.2838</v>
      </c>
      <c r="U353" s="57">
        <v>0.8512</v>
      </c>
      <c r="V353" s="57">
        <v>0.5287</v>
      </c>
      <c r="W353" s="57">
        <f t="shared" si="25"/>
        <v>1.02424</v>
      </c>
      <c r="X353" s="57"/>
      <c r="Y353" s="57">
        <v>0.9701</v>
      </c>
      <c r="Z353" s="57">
        <v>0.6474</v>
      </c>
      <c r="AA353" s="57">
        <v>0.4069</v>
      </c>
      <c r="AB353" s="57">
        <f t="shared" si="22"/>
        <v>0.77648</v>
      </c>
      <c r="AC353" s="57">
        <v>0.5653</v>
      </c>
      <c r="AD353" s="57"/>
      <c r="AE353" s="57"/>
      <c r="AF353" s="73"/>
      <c r="AG353" s="58">
        <f t="shared" si="23"/>
        <v>0</v>
      </c>
      <c r="AH353" s="73"/>
    </row>
    <row r="354" ht="14.25" spans="1:34">
      <c r="A354" s="52">
        <v>352</v>
      </c>
      <c r="B354" s="61" t="s">
        <v>1106</v>
      </c>
      <c r="C354" s="62" t="s">
        <v>390</v>
      </c>
      <c r="D354" s="64" t="s">
        <v>1168</v>
      </c>
      <c r="E354" s="57">
        <v>25</v>
      </c>
      <c r="F354" s="52">
        <v>1.061</v>
      </c>
      <c r="G354" s="57">
        <v>0.993</v>
      </c>
      <c r="H354" s="58">
        <f t="shared" si="24"/>
        <v>1.02917</v>
      </c>
      <c r="I354" s="52">
        <v>23</v>
      </c>
      <c r="J354" s="52">
        <v>1.056</v>
      </c>
      <c r="K354" s="79">
        <v>1228</v>
      </c>
      <c r="L354" s="79">
        <v>814</v>
      </c>
      <c r="M354" s="57">
        <v>0</v>
      </c>
      <c r="N354" s="57">
        <v>0</v>
      </c>
      <c r="O354" s="57">
        <v>0</v>
      </c>
      <c r="P354" s="57">
        <v>0</v>
      </c>
      <c r="Q354" s="57">
        <v>0</v>
      </c>
      <c r="R354" s="57">
        <v>0.4069</v>
      </c>
      <c r="S354" s="57"/>
      <c r="T354" s="57">
        <v>1.2838</v>
      </c>
      <c r="U354" s="57">
        <v>0.8512</v>
      </c>
      <c r="V354" s="57">
        <v>0.5287</v>
      </c>
      <c r="W354" s="57">
        <f t="shared" si="25"/>
        <v>1.02424</v>
      </c>
      <c r="X354" s="57"/>
      <c r="Y354" s="57">
        <v>0.9701</v>
      </c>
      <c r="Z354" s="57">
        <v>0.6474</v>
      </c>
      <c r="AA354" s="57">
        <v>0.4069</v>
      </c>
      <c r="AB354" s="57">
        <f t="shared" si="22"/>
        <v>0.77648</v>
      </c>
      <c r="AC354" s="57">
        <v>0.5653</v>
      </c>
      <c r="AD354" s="57"/>
      <c r="AE354" s="57"/>
      <c r="AF354" s="73"/>
      <c r="AG354" s="58">
        <f t="shared" si="23"/>
        <v>0</v>
      </c>
      <c r="AH354" s="73"/>
    </row>
    <row r="355" ht="14.25" spans="1:34">
      <c r="A355" s="52">
        <v>353</v>
      </c>
      <c r="B355" s="61" t="s">
        <v>1106</v>
      </c>
      <c r="C355" s="62" t="s">
        <v>390</v>
      </c>
      <c r="D355" s="64" t="s">
        <v>1169</v>
      </c>
      <c r="E355" s="57">
        <v>25</v>
      </c>
      <c r="F355" s="52">
        <v>1.133</v>
      </c>
      <c r="G355" s="57">
        <v>1.058</v>
      </c>
      <c r="H355" s="58">
        <f t="shared" si="24"/>
        <v>1.09901</v>
      </c>
      <c r="I355" s="52">
        <v>28</v>
      </c>
      <c r="J355" s="52">
        <v>1.214</v>
      </c>
      <c r="K355" s="79">
        <v>1304</v>
      </c>
      <c r="L355" s="79">
        <v>848</v>
      </c>
      <c r="M355" s="57">
        <v>0</v>
      </c>
      <c r="N355" s="57">
        <v>0</v>
      </c>
      <c r="O355" s="57">
        <v>0</v>
      </c>
      <c r="P355" s="57">
        <v>0</v>
      </c>
      <c r="Q355" s="57">
        <v>0</v>
      </c>
      <c r="R355" s="57">
        <v>0.4069</v>
      </c>
      <c r="S355" s="57"/>
      <c r="T355" s="57">
        <v>1.2838</v>
      </c>
      <c r="U355" s="57">
        <v>0.8512</v>
      </c>
      <c r="V355" s="57">
        <v>0.5287</v>
      </c>
      <c r="W355" s="57">
        <f t="shared" si="25"/>
        <v>1.02424</v>
      </c>
      <c r="X355" s="57"/>
      <c r="Y355" s="57">
        <v>0.9701</v>
      </c>
      <c r="Z355" s="57">
        <v>0.6474</v>
      </c>
      <c r="AA355" s="57">
        <v>0.4069</v>
      </c>
      <c r="AB355" s="57">
        <f t="shared" si="22"/>
        <v>0.77648</v>
      </c>
      <c r="AC355" s="57">
        <v>0.5653</v>
      </c>
      <c r="AD355" s="57"/>
      <c r="AE355" s="57"/>
      <c r="AF355" s="73"/>
      <c r="AG355" s="58">
        <f t="shared" si="23"/>
        <v>0</v>
      </c>
      <c r="AH355" s="73"/>
    </row>
    <row r="356" ht="14.25" spans="1:34">
      <c r="A356" s="52">
        <v>354</v>
      </c>
      <c r="B356" s="61" t="s">
        <v>1106</v>
      </c>
      <c r="C356" s="62" t="s">
        <v>390</v>
      </c>
      <c r="D356" s="64" t="s">
        <v>1170</v>
      </c>
      <c r="E356" s="57">
        <v>25</v>
      </c>
      <c r="F356" s="52">
        <v>1.163</v>
      </c>
      <c r="G356" s="57">
        <v>1.073</v>
      </c>
      <c r="H356" s="58">
        <f t="shared" si="24"/>
        <v>1.12811</v>
      </c>
      <c r="I356" s="52">
        <v>30</v>
      </c>
      <c r="J356" s="52">
        <v>1.295</v>
      </c>
      <c r="K356" s="79">
        <v>1323</v>
      </c>
      <c r="L356" s="79">
        <v>809</v>
      </c>
      <c r="M356" s="57">
        <v>0</v>
      </c>
      <c r="N356" s="57">
        <v>0</v>
      </c>
      <c r="O356" s="57">
        <v>0</v>
      </c>
      <c r="P356" s="57">
        <v>0</v>
      </c>
      <c r="Q356" s="57">
        <v>0</v>
      </c>
      <c r="R356" s="57">
        <v>0.4069</v>
      </c>
      <c r="S356" s="57"/>
      <c r="T356" s="57">
        <v>1.2838</v>
      </c>
      <c r="U356" s="57">
        <v>0.8512</v>
      </c>
      <c r="V356" s="57">
        <v>0.5287</v>
      </c>
      <c r="W356" s="57">
        <f t="shared" si="25"/>
        <v>1.02424</v>
      </c>
      <c r="X356" s="57"/>
      <c r="Y356" s="57">
        <v>0.9701</v>
      </c>
      <c r="Z356" s="57">
        <v>0.6474</v>
      </c>
      <c r="AA356" s="57">
        <v>0.4069</v>
      </c>
      <c r="AB356" s="57">
        <f t="shared" si="22"/>
        <v>0.77648</v>
      </c>
      <c r="AC356" s="57">
        <v>0.5653</v>
      </c>
      <c r="AD356" s="57"/>
      <c r="AE356" s="57"/>
      <c r="AF356" s="73"/>
      <c r="AG356" s="58">
        <f t="shared" si="23"/>
        <v>0</v>
      </c>
      <c r="AH356" s="73"/>
    </row>
    <row r="357" ht="14.25" spans="1:34">
      <c r="A357" s="52">
        <v>355</v>
      </c>
      <c r="B357" s="61" t="s">
        <v>1106</v>
      </c>
      <c r="C357" s="62" t="s">
        <v>390</v>
      </c>
      <c r="D357" s="64" t="s">
        <v>1171</v>
      </c>
      <c r="E357" s="57">
        <v>25</v>
      </c>
      <c r="F357" s="52">
        <v>1.085</v>
      </c>
      <c r="G357" s="57">
        <v>1.019</v>
      </c>
      <c r="H357" s="58">
        <f t="shared" si="24"/>
        <v>1.05245</v>
      </c>
      <c r="I357" s="52">
        <v>23</v>
      </c>
      <c r="J357" s="52">
        <v>1.065</v>
      </c>
      <c r="K357" s="79">
        <v>1267</v>
      </c>
      <c r="L357" s="79">
        <v>808</v>
      </c>
      <c r="M357" s="57">
        <v>0</v>
      </c>
      <c r="N357" s="57">
        <v>0</v>
      </c>
      <c r="O357" s="57">
        <v>0</v>
      </c>
      <c r="P357" s="57">
        <v>0</v>
      </c>
      <c r="Q357" s="57">
        <v>0</v>
      </c>
      <c r="R357" s="57">
        <v>0.4069</v>
      </c>
      <c r="S357" s="57"/>
      <c r="T357" s="57">
        <v>1.2838</v>
      </c>
      <c r="U357" s="57">
        <v>0.8512</v>
      </c>
      <c r="V357" s="57">
        <v>0.5287</v>
      </c>
      <c r="W357" s="57">
        <f t="shared" si="25"/>
        <v>1.02424</v>
      </c>
      <c r="X357" s="57"/>
      <c r="Y357" s="57">
        <v>0.9701</v>
      </c>
      <c r="Z357" s="57">
        <v>0.6474</v>
      </c>
      <c r="AA357" s="57">
        <v>0.4069</v>
      </c>
      <c r="AB357" s="57">
        <f t="shared" si="22"/>
        <v>0.77648</v>
      </c>
      <c r="AC357" s="57">
        <v>0.5653</v>
      </c>
      <c r="AD357" s="57"/>
      <c r="AE357" s="57"/>
      <c r="AF357" s="73"/>
      <c r="AG357" s="58">
        <f t="shared" si="23"/>
        <v>0</v>
      </c>
      <c r="AH357" s="73"/>
    </row>
    <row r="358" ht="14.25" spans="1:34">
      <c r="A358" s="52">
        <v>356</v>
      </c>
      <c r="B358" s="61" t="s">
        <v>1106</v>
      </c>
      <c r="C358" s="62" t="s">
        <v>390</v>
      </c>
      <c r="D358" s="64" t="s">
        <v>1172</v>
      </c>
      <c r="E358" s="57">
        <v>25</v>
      </c>
      <c r="F358" s="52">
        <v>1.055</v>
      </c>
      <c r="G358" s="57">
        <v>0.986</v>
      </c>
      <c r="H358" s="58">
        <f t="shared" si="24"/>
        <v>1.02335</v>
      </c>
      <c r="I358" s="52">
        <v>22</v>
      </c>
      <c r="J358" s="52">
        <v>1.061</v>
      </c>
      <c r="K358" s="79">
        <v>1224</v>
      </c>
      <c r="L358" s="79">
        <v>825</v>
      </c>
      <c r="M358" s="57">
        <v>0</v>
      </c>
      <c r="N358" s="57">
        <v>0</v>
      </c>
      <c r="O358" s="57">
        <v>0</v>
      </c>
      <c r="P358" s="57">
        <v>0</v>
      </c>
      <c r="Q358" s="57">
        <v>0</v>
      </c>
      <c r="R358" s="57">
        <v>0.4069</v>
      </c>
      <c r="S358" s="57"/>
      <c r="T358" s="57">
        <v>1.2838</v>
      </c>
      <c r="U358" s="57">
        <v>0.8512</v>
      </c>
      <c r="V358" s="57">
        <v>0.5287</v>
      </c>
      <c r="W358" s="57">
        <f t="shared" si="25"/>
        <v>1.02424</v>
      </c>
      <c r="X358" s="57"/>
      <c r="Y358" s="57">
        <v>0.9701</v>
      </c>
      <c r="Z358" s="57">
        <v>0.6474</v>
      </c>
      <c r="AA358" s="57">
        <v>0.4069</v>
      </c>
      <c r="AB358" s="57">
        <f t="shared" si="22"/>
        <v>0.77648</v>
      </c>
      <c r="AC358" s="57">
        <v>0.5653</v>
      </c>
      <c r="AD358" s="57"/>
      <c r="AE358" s="57"/>
      <c r="AF358" s="73"/>
      <c r="AG358" s="58">
        <f t="shared" si="23"/>
        <v>0</v>
      </c>
      <c r="AH358" s="73"/>
    </row>
    <row r="359" ht="14.25" spans="1:34">
      <c r="A359" s="52">
        <v>357</v>
      </c>
      <c r="B359" s="61" t="s">
        <v>1106</v>
      </c>
      <c r="C359" s="62" t="s">
        <v>390</v>
      </c>
      <c r="D359" s="64" t="s">
        <v>1173</v>
      </c>
      <c r="E359" s="57">
        <v>25</v>
      </c>
      <c r="F359" s="52">
        <v>1.112</v>
      </c>
      <c r="G359" s="57">
        <v>1.033</v>
      </c>
      <c r="H359" s="58">
        <f t="shared" si="24"/>
        <v>1.07864</v>
      </c>
      <c r="I359" s="52">
        <v>30</v>
      </c>
      <c r="J359" s="52">
        <v>1.289</v>
      </c>
      <c r="K359" s="79">
        <v>1277</v>
      </c>
      <c r="L359" s="79">
        <v>839</v>
      </c>
      <c r="M359" s="57">
        <v>0</v>
      </c>
      <c r="N359" s="57">
        <v>0</v>
      </c>
      <c r="O359" s="57">
        <v>0</v>
      </c>
      <c r="P359" s="57">
        <v>0</v>
      </c>
      <c r="Q359" s="57">
        <v>0</v>
      </c>
      <c r="R359" s="57">
        <v>0.4069</v>
      </c>
      <c r="S359" s="57"/>
      <c r="T359" s="57">
        <v>1.2838</v>
      </c>
      <c r="U359" s="57">
        <v>0.8512</v>
      </c>
      <c r="V359" s="57">
        <v>0.5287</v>
      </c>
      <c r="W359" s="57">
        <f t="shared" si="25"/>
        <v>1.02424</v>
      </c>
      <c r="X359" s="57"/>
      <c r="Y359" s="57">
        <v>0.9701</v>
      </c>
      <c r="Z359" s="57">
        <v>0.6474</v>
      </c>
      <c r="AA359" s="57">
        <v>0.4069</v>
      </c>
      <c r="AB359" s="57">
        <f t="shared" si="22"/>
        <v>0.77648</v>
      </c>
      <c r="AC359" s="57">
        <v>0.5653</v>
      </c>
      <c r="AD359" s="57"/>
      <c r="AE359" s="57"/>
      <c r="AF359" s="73"/>
      <c r="AG359" s="58">
        <f t="shared" si="23"/>
        <v>0</v>
      </c>
      <c r="AH359" s="73"/>
    </row>
    <row r="360" ht="14.25" spans="1:34">
      <c r="A360" s="52">
        <v>358</v>
      </c>
      <c r="B360" s="61" t="s">
        <v>1106</v>
      </c>
      <c r="C360" s="62" t="s">
        <v>390</v>
      </c>
      <c r="D360" s="64" t="s">
        <v>1174</v>
      </c>
      <c r="E360" s="57">
        <v>25</v>
      </c>
      <c r="F360" s="52">
        <v>1.05</v>
      </c>
      <c r="G360" s="57">
        <v>0.98</v>
      </c>
      <c r="H360" s="58">
        <f t="shared" si="24"/>
        <v>1.0185</v>
      </c>
      <c r="I360" s="52">
        <v>22</v>
      </c>
      <c r="J360" s="52">
        <v>1.054</v>
      </c>
      <c r="K360" s="79">
        <v>1223</v>
      </c>
      <c r="L360" s="79">
        <v>789</v>
      </c>
      <c r="M360" s="57">
        <v>0</v>
      </c>
      <c r="N360" s="57">
        <v>0</v>
      </c>
      <c r="O360" s="57">
        <v>0</v>
      </c>
      <c r="P360" s="57">
        <v>0</v>
      </c>
      <c r="Q360" s="57">
        <v>0</v>
      </c>
      <c r="R360" s="57">
        <v>0.4069</v>
      </c>
      <c r="S360" s="57"/>
      <c r="T360" s="57">
        <v>1.2838</v>
      </c>
      <c r="U360" s="57">
        <v>0.8512</v>
      </c>
      <c r="V360" s="57">
        <v>0.5287</v>
      </c>
      <c r="W360" s="57">
        <f t="shared" si="25"/>
        <v>1.02424</v>
      </c>
      <c r="X360" s="57"/>
      <c r="Y360" s="57">
        <v>0.9701</v>
      </c>
      <c r="Z360" s="57">
        <v>0.6474</v>
      </c>
      <c r="AA360" s="57">
        <v>0.4069</v>
      </c>
      <c r="AB360" s="57">
        <f t="shared" si="22"/>
        <v>0.77648</v>
      </c>
      <c r="AC360" s="57">
        <v>0.5653</v>
      </c>
      <c r="AD360" s="57"/>
      <c r="AE360" s="57"/>
      <c r="AF360" s="73"/>
      <c r="AG360" s="58">
        <f t="shared" si="23"/>
        <v>0</v>
      </c>
      <c r="AH360" s="73"/>
    </row>
    <row r="361" ht="14.25" spans="1:34">
      <c r="A361" s="52">
        <v>359</v>
      </c>
      <c r="B361" s="61" t="s">
        <v>1106</v>
      </c>
      <c r="C361" s="62" t="s">
        <v>390</v>
      </c>
      <c r="D361" s="64" t="s">
        <v>1175</v>
      </c>
      <c r="E361" s="57">
        <v>25</v>
      </c>
      <c r="F361" s="52">
        <v>1.052</v>
      </c>
      <c r="G361" s="57">
        <v>0.988</v>
      </c>
      <c r="H361" s="58">
        <f t="shared" si="24"/>
        <v>1.02044</v>
      </c>
      <c r="I361" s="52">
        <v>23</v>
      </c>
      <c r="J361" s="52">
        <v>1.052</v>
      </c>
      <c r="K361" s="79">
        <v>1230</v>
      </c>
      <c r="L361" s="79">
        <v>781</v>
      </c>
      <c r="M361" s="57">
        <v>0</v>
      </c>
      <c r="N361" s="57">
        <v>0</v>
      </c>
      <c r="O361" s="57">
        <v>0</v>
      </c>
      <c r="P361" s="57">
        <v>0</v>
      </c>
      <c r="Q361" s="57">
        <v>0</v>
      </c>
      <c r="R361" s="57">
        <v>0.4069</v>
      </c>
      <c r="S361" s="57"/>
      <c r="T361" s="57">
        <v>1.2838</v>
      </c>
      <c r="U361" s="57">
        <v>0.8512</v>
      </c>
      <c r="V361" s="57">
        <v>0.5287</v>
      </c>
      <c r="W361" s="57">
        <f t="shared" si="25"/>
        <v>1.02424</v>
      </c>
      <c r="X361" s="57"/>
      <c r="Y361" s="57">
        <v>0.9701</v>
      </c>
      <c r="Z361" s="57">
        <v>0.6474</v>
      </c>
      <c r="AA361" s="57">
        <v>0.4069</v>
      </c>
      <c r="AB361" s="57">
        <f t="shared" si="22"/>
        <v>0.77648</v>
      </c>
      <c r="AC361" s="57">
        <v>0.5653</v>
      </c>
      <c r="AD361" s="57"/>
      <c r="AE361" s="57"/>
      <c r="AF361" s="73"/>
      <c r="AG361" s="58">
        <f t="shared" si="23"/>
        <v>0</v>
      </c>
      <c r="AH361" s="73"/>
    </row>
    <row r="362" ht="14.25" spans="1:34">
      <c r="A362" s="52">
        <v>360</v>
      </c>
      <c r="B362" s="61" t="s">
        <v>1106</v>
      </c>
      <c r="C362" s="62" t="s">
        <v>390</v>
      </c>
      <c r="D362" s="64" t="s">
        <v>1176</v>
      </c>
      <c r="E362" s="57">
        <v>24</v>
      </c>
      <c r="F362" s="52">
        <v>1.12</v>
      </c>
      <c r="G362" s="57">
        <v>1.037</v>
      </c>
      <c r="H362" s="58">
        <f t="shared" si="24"/>
        <v>1.0864</v>
      </c>
      <c r="I362" s="52">
        <v>28</v>
      </c>
      <c r="J362" s="52">
        <v>1.223</v>
      </c>
      <c r="K362" s="79">
        <v>1277</v>
      </c>
      <c r="L362" s="79">
        <v>799</v>
      </c>
      <c r="M362" s="57">
        <v>0</v>
      </c>
      <c r="N362" s="57">
        <v>0</v>
      </c>
      <c r="O362" s="57">
        <v>0</v>
      </c>
      <c r="P362" s="57">
        <v>0</v>
      </c>
      <c r="Q362" s="57">
        <v>0</v>
      </c>
      <c r="R362" s="57">
        <v>0.4069</v>
      </c>
      <c r="S362" s="57"/>
      <c r="T362" s="57">
        <v>1.2838</v>
      </c>
      <c r="U362" s="57">
        <v>0.8512</v>
      </c>
      <c r="V362" s="57">
        <v>0.5287</v>
      </c>
      <c r="W362" s="57">
        <f t="shared" si="25"/>
        <v>1.02424</v>
      </c>
      <c r="X362" s="57"/>
      <c r="Y362" s="57">
        <v>0.9701</v>
      </c>
      <c r="Z362" s="57">
        <v>0.6474</v>
      </c>
      <c r="AA362" s="57">
        <v>0.4069</v>
      </c>
      <c r="AB362" s="57">
        <f t="shared" si="22"/>
        <v>0.77648</v>
      </c>
      <c r="AC362" s="57">
        <v>0.5653</v>
      </c>
      <c r="AD362" s="57"/>
      <c r="AE362" s="57"/>
      <c r="AF362" s="73"/>
      <c r="AG362" s="58">
        <f t="shared" si="23"/>
        <v>0</v>
      </c>
      <c r="AH362" s="73"/>
    </row>
    <row r="363" spans="18:18">
      <c r="R363" s="84"/>
    </row>
  </sheetData>
  <mergeCells count="18">
    <mergeCell ref="S1:V1"/>
    <mergeCell ref="X1:AA1"/>
    <mergeCell ref="AC1:AE1"/>
    <mergeCell ref="A1:A2"/>
    <mergeCell ref="B1:B2"/>
    <mergeCell ref="C1:C2"/>
    <mergeCell ref="D1:D2"/>
    <mergeCell ref="E1:E2"/>
    <mergeCell ref="G1:G2"/>
    <mergeCell ref="H1:H2"/>
    <mergeCell ref="K1:K2"/>
    <mergeCell ref="L1:L2"/>
    <mergeCell ref="M1:M2"/>
    <mergeCell ref="N1:N2"/>
    <mergeCell ref="O1:O2"/>
    <mergeCell ref="P1:P2"/>
    <mergeCell ref="Q1:Q2"/>
    <mergeCell ref="R1:R2"/>
  </mergeCell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10</vt:i4>
      </vt:variant>
    </vt:vector>
  </HeadingPairs>
  <TitlesOfParts>
    <vt:vector size="10" baseType="lpstr">
      <vt:lpstr>储能-设备工程参数</vt:lpstr>
      <vt:lpstr>储能-投资参数</vt:lpstr>
      <vt:lpstr>储能-计算界面-年</vt:lpstr>
      <vt:lpstr>电价政策</vt:lpstr>
      <vt:lpstr>分布式省市补贴电价</vt:lpstr>
      <vt:lpstr>光照资源</vt:lpstr>
      <vt:lpstr>租赁</vt:lpstr>
      <vt:lpstr>银行贷款</vt:lpstr>
      <vt:lpstr>全国电价统计表格</vt:lpstr>
      <vt:lpstr>储能-敏感性分析</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北原之辉</dc:creator>
  <cp:lastModifiedBy>V.</cp:lastModifiedBy>
  <dcterms:created xsi:type="dcterms:W3CDTF">2015-12-04T03:12:00Z</dcterms:created>
  <cp:lastPrinted>2016-03-09T06:27:00Z</cp:lastPrinted>
  <dcterms:modified xsi:type="dcterms:W3CDTF">2020-10-27T13:01:48Z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2052-11.1.0.9999</vt:lpwstr>
  </property>
</Properties>
</file>