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90" firstSheet="7" activeTab="15"/>
  </bookViews>
  <sheets>
    <sheet name="基础数据" sheetId="1" r:id="rId1"/>
    <sheet name="基础输入数据" sheetId="2" r:id="rId2"/>
    <sheet name="表1 充放电量" sheetId="3" r:id="rId3"/>
    <sheet name="表2 营业收入、营业税金及附加估算表" sheetId="4" r:id="rId4"/>
    <sheet name="表3 固定资产折旧费估算表" sheetId="5" r:id="rId5"/>
    <sheet name="表4 总成本费用估算表" sheetId="6" r:id="rId6"/>
    <sheet name="表5 利润与利润分配表" sheetId="7" r:id="rId7"/>
    <sheet name="表6 还本付息表" sheetId="8" r:id="rId8"/>
    <sheet name="表7 项目资本金财务现金流量表" sheetId="9" r:id="rId9"/>
    <sheet name="表9 资产负债表" sheetId="10" r:id="rId10"/>
    <sheet name="表8 项目投资财务现金流量表" sheetId="11" r:id="rId11"/>
    <sheet name="表10 项目总投资使用计划与资金筹措表" sheetId="12" r:id="rId12"/>
    <sheet name="表11 财务计划现金流量表" sheetId="13" r:id="rId13"/>
    <sheet name="表12 EVA测算表" sheetId="14" r:id="rId14"/>
    <sheet name="表13 单因素敏感性分析表" sheetId="15" r:id="rId15"/>
    <sheet name="表14 敏感度系数分析表" sheetId="16" r:id="rId16"/>
  </sheets>
  <calcPr calcId="144525"/>
</workbook>
</file>

<file path=xl/comments1.xml><?xml version="1.0" encoding="utf-8"?>
<comments xmlns="http://schemas.openxmlformats.org/spreadsheetml/2006/main">
  <authors>
    <author>PAN JUNXING</author>
  </authors>
  <commentList>
    <comment ref="K4" authorId="0">
      <text>
        <r>
          <rPr>
            <sz val="9"/>
            <rFont val="宋体"/>
            <charset val="134"/>
          </rPr>
          <t xml:space="preserve">等额本金 1；等额本息 0
</t>
        </r>
      </text>
    </comment>
    <comment ref="C18" authorId="0">
      <text>
        <r>
          <rPr>
            <b/>
            <sz val="9"/>
            <rFont val="宋体"/>
            <charset val="134"/>
          </rPr>
          <t xml:space="preserve">注：1 表示精确估算，数据来源为投资估算表，即工程假设1；
0 表示粗略估算，数据来源为工程假设0
</t>
        </r>
      </text>
    </comment>
  </commentList>
</comments>
</file>

<file path=xl/sharedStrings.xml><?xml version="1.0" encoding="utf-8"?>
<sst xmlns="http://schemas.openxmlformats.org/spreadsheetml/2006/main" count="1149" uniqueCount="403">
  <si>
    <t>内 部                             储能项目评价指标及参数汇总表（分布式储能）</t>
  </si>
  <si>
    <t>一、项目规模</t>
  </si>
  <si>
    <t>七、投资计算期</t>
  </si>
  <si>
    <t>序号</t>
  </si>
  <si>
    <t>项目</t>
  </si>
  <si>
    <t>单位</t>
  </si>
  <si>
    <t>数值</t>
  </si>
  <si>
    <t>规划装机容量</t>
  </si>
  <si>
    <t>KW</t>
  </si>
  <si>
    <t>建设期投资</t>
  </si>
  <si>
    <t>计算期</t>
  </si>
  <si>
    <t>年</t>
  </si>
  <si>
    <t>装机容量</t>
  </si>
  <si>
    <t>kwh</t>
  </si>
  <si>
    <t>工程总投资</t>
  </si>
  <si>
    <t>万元</t>
  </si>
  <si>
    <t>固定资产投资</t>
  </si>
  <si>
    <t>其中：建设期</t>
  </si>
  <si>
    <t>系统功率</t>
  </si>
  <si>
    <t>kW</t>
  </si>
  <si>
    <t>每瓦投资额</t>
  </si>
  <si>
    <t>元/瓦</t>
  </si>
  <si>
    <t>无形资产</t>
  </si>
  <si>
    <t xml:space="preserve">      运营期</t>
  </si>
  <si>
    <t>总投资</t>
  </si>
  <si>
    <t>二、电价</t>
  </si>
  <si>
    <t>六、经营成本参数</t>
  </si>
  <si>
    <t>八、系统参数</t>
  </si>
  <si>
    <t>建设期利息</t>
  </si>
  <si>
    <t>谷电电价（含税）</t>
  </si>
  <si>
    <t>元/度</t>
  </si>
  <si>
    <t>折旧年限</t>
  </si>
  <si>
    <t>谷电平均电价</t>
  </si>
  <si>
    <t>元/kWh</t>
  </si>
  <si>
    <t>峰电电价（含税）</t>
  </si>
  <si>
    <t>残值率</t>
  </si>
  <si>
    <t>峰电平均电价</t>
  </si>
  <si>
    <t>尖电电价</t>
  </si>
  <si>
    <t>削峰响应单价</t>
  </si>
  <si>
    <t>销售收入</t>
  </si>
  <si>
    <t>填谷响应单价</t>
  </si>
  <si>
    <t>总成本费用</t>
  </si>
  <si>
    <t>电价分成</t>
  </si>
  <si>
    <t>营业税金附加总额</t>
  </si>
  <si>
    <t>需求响应分成</t>
  </si>
  <si>
    <t>利润总额</t>
  </si>
  <si>
    <t>三、发电量</t>
  </si>
  <si>
    <t>投资回收期（所得税前）</t>
  </si>
  <si>
    <t>投资回收期（所得税后）</t>
  </si>
  <si>
    <t>投资财务内部收益率（所得税前）</t>
  </si>
  <si>
    <t>%</t>
  </si>
  <si>
    <t>投资财务内部收益率（所得税后）</t>
  </si>
  <si>
    <t>四、项目资金</t>
  </si>
  <si>
    <t>投资财务净现值（所得税前）</t>
  </si>
  <si>
    <t>资本金</t>
  </si>
  <si>
    <t>投资财务净现值（所得税后）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</si>
  <si>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铺底流动资金</t>
    </r>
  </si>
  <si>
    <t>资本金财务内部收益率</t>
  </si>
  <si>
    <t>长期借款</t>
  </si>
  <si>
    <t>总投资收益率（ROI）</t>
  </si>
  <si>
    <t xml:space="preserve">      长期借款本金</t>
  </si>
  <si>
    <t>保险费率</t>
  </si>
  <si>
    <t>项目资本金净利润率（ROE）</t>
  </si>
  <si>
    <r>
      <rPr>
        <sz val="10"/>
        <rFont val="宋体"/>
        <charset val="134"/>
      </rPr>
      <t xml:space="preserve">       </t>
    </r>
    <r>
      <rPr>
        <sz val="10"/>
        <rFont val="宋体"/>
        <charset val="134"/>
      </rPr>
      <t>建设期利息</t>
    </r>
  </si>
  <si>
    <t>保险费</t>
  </si>
  <si>
    <t>万元/年</t>
  </si>
  <si>
    <t>九、商业贷款参数</t>
  </si>
  <si>
    <t>五、财务指标</t>
  </si>
  <si>
    <t>贷款比率</t>
  </si>
  <si>
    <t>资产负债率</t>
  </si>
  <si>
    <t>均值</t>
  </si>
  <si>
    <t>资本金比例</t>
  </si>
  <si>
    <t>投资回收期（税前）（i=8%）</t>
  </si>
  <si>
    <t>贷款利率</t>
  </si>
  <si>
    <t>投资回收期（税后）（i=8%）</t>
  </si>
  <si>
    <t>宽限期</t>
  </si>
  <si>
    <r>
      <rPr>
        <sz val="10"/>
        <rFont val="宋体"/>
        <charset val="134"/>
      </rPr>
      <t xml:space="preserve">全投资财务净现值（NPV </t>
    </r>
    <r>
      <rPr>
        <sz val="10"/>
        <rFont val="宋体"/>
        <charset val="134"/>
      </rPr>
      <t>税前）</t>
    </r>
  </si>
  <si>
    <t>增值税税率</t>
  </si>
  <si>
    <t>还贷年限</t>
  </si>
  <si>
    <t>全投资财务净现值（NPV 税后）</t>
  </si>
  <si>
    <t>城市维护建设税税率</t>
  </si>
  <si>
    <t>还贷方式                    （等额本金 1；等额本息 0）</t>
  </si>
  <si>
    <r>
      <rPr>
        <sz val="10"/>
        <rFont val="宋体"/>
        <charset val="134"/>
      </rPr>
      <t>全投资内部收益率(</t>
    </r>
    <r>
      <rPr>
        <sz val="10"/>
        <rFont val="宋体"/>
        <charset val="134"/>
      </rPr>
      <t xml:space="preserve">IRR </t>
    </r>
    <r>
      <rPr>
        <sz val="10"/>
        <rFont val="宋体"/>
        <charset val="134"/>
      </rPr>
      <t>税前）</t>
    </r>
  </si>
  <si>
    <t>教育费附加</t>
  </si>
  <si>
    <t>全投资内部收益率（IRR 税后）</t>
  </si>
  <si>
    <t>地方教育附加</t>
  </si>
  <si>
    <t>十、其他</t>
  </si>
  <si>
    <t>自有资金内部收益率(税后)</t>
  </si>
  <si>
    <t>企业所得税税率</t>
  </si>
  <si>
    <t>可抵扣增值税进项税</t>
  </si>
  <si>
    <r>
      <rPr>
        <sz val="10"/>
        <rFont val="宋体"/>
        <charset val="134"/>
      </rPr>
      <t>总投资收益率(</t>
    </r>
    <r>
      <rPr>
        <sz val="10"/>
        <rFont val="宋体"/>
        <charset val="134"/>
      </rPr>
      <t>ROI)</t>
    </r>
  </si>
  <si>
    <t>度电成本</t>
  </si>
  <si>
    <t>平均经营成本</t>
  </si>
  <si>
    <t>一、工程假设0</t>
  </si>
  <si>
    <t>二、项目开发假设</t>
  </si>
  <si>
    <t>三、财务假设</t>
  </si>
  <si>
    <t>四、运营假设</t>
  </si>
  <si>
    <t>项目名称</t>
  </si>
  <si>
    <t>单价
（元/瓦）</t>
  </si>
  <si>
    <t>总价
（万元）</t>
  </si>
  <si>
    <t>装机容量（kwh）</t>
  </si>
  <si>
    <t>固定资产折旧年限</t>
  </si>
  <si>
    <t>合计</t>
  </si>
  <si>
    <t>放电效率</t>
  </si>
  <si>
    <t>固定资产残值率</t>
  </si>
  <si>
    <t>项目前期费用</t>
  </si>
  <si>
    <t>充电效率</t>
  </si>
  <si>
    <t>还贷方式</t>
  </si>
  <si>
    <t>主要设备费</t>
  </si>
  <si>
    <t>放电深度</t>
  </si>
  <si>
    <t>组件</t>
  </si>
  <si>
    <t>收益分成</t>
  </si>
  <si>
    <t>贷款年限</t>
  </si>
  <si>
    <t>逆变器</t>
  </si>
  <si>
    <t>项目运营年限（年）</t>
  </si>
  <si>
    <t>EPC费用</t>
  </si>
  <si>
    <t>支架</t>
  </si>
  <si>
    <t>电缆</t>
  </si>
  <si>
    <t>升压站工程</t>
  </si>
  <si>
    <t>年利用天数</t>
  </si>
  <si>
    <t>天</t>
  </si>
  <si>
    <t>外线工程</t>
  </si>
  <si>
    <t>运维费用</t>
  </si>
  <si>
    <t>万元/MW</t>
  </si>
  <si>
    <t>其他项目</t>
  </si>
  <si>
    <t>组件效率衰减%</t>
  </si>
  <si>
    <t>所得税(%)</t>
  </si>
  <si>
    <t>其他费用</t>
  </si>
  <si>
    <t>建设期</t>
  </si>
  <si>
    <t>设计、勘察费</t>
  </si>
  <si>
    <t>削峰响应次数</t>
  </si>
  <si>
    <t>次</t>
  </si>
  <si>
    <t>建设管理费用</t>
  </si>
  <si>
    <t>其他</t>
  </si>
  <si>
    <t>填谷响应次数</t>
  </si>
  <si>
    <t>法定盈余公积金</t>
  </si>
  <si>
    <t>工程假设估算精度</t>
  </si>
  <si>
    <t>设备增值税（万元）</t>
  </si>
  <si>
    <t>主要的财务数据显示</t>
  </si>
  <si>
    <t>MWp</t>
  </si>
  <si>
    <t>项目投资回收期（税后）</t>
  </si>
  <si>
    <t>8年放电总量</t>
  </si>
  <si>
    <t>万度</t>
  </si>
  <si>
    <t>资本金投资回收期</t>
  </si>
  <si>
    <t>年均发电量</t>
  </si>
  <si>
    <t>项目财务内部收益率（税前）</t>
  </si>
  <si>
    <t>静态总投资</t>
  </si>
  <si>
    <t>项目财务内部收益率（税后）</t>
  </si>
  <si>
    <t>单位静态投资</t>
  </si>
  <si>
    <t>总投资收益率（首年）</t>
  </si>
  <si>
    <t>总投资收益率（平均）</t>
  </si>
  <si>
    <t>资本金收益率（首年）</t>
  </si>
  <si>
    <t>电价折扣</t>
  </si>
  <si>
    <t>资本金收益率（平均）</t>
  </si>
  <si>
    <t>全投资财务净现值（NPV 税前）</t>
  </si>
  <si>
    <t>年运维费用</t>
  </si>
  <si>
    <t xml:space="preserve">内 部                                  表1    发电量表 </t>
  </si>
  <si>
    <t>年平均</t>
  </si>
  <si>
    <t>第1年</t>
  </si>
  <si>
    <t>第2年</t>
  </si>
  <si>
    <t>第3年</t>
  </si>
  <si>
    <t>第4年</t>
  </si>
  <si>
    <t>第5年</t>
  </si>
  <si>
    <t>第6年</t>
  </si>
  <si>
    <t>第7年</t>
  </si>
  <si>
    <t>第8年</t>
  </si>
  <si>
    <t>第9年</t>
  </si>
  <si>
    <t>第10年</t>
  </si>
  <si>
    <t>第11年</t>
  </si>
  <si>
    <t>第12年</t>
  </si>
  <si>
    <t>第13年</t>
  </si>
  <si>
    <t>第14年</t>
  </si>
  <si>
    <t>第15年</t>
  </si>
  <si>
    <t>第16年</t>
  </si>
  <si>
    <t>第17年</t>
  </si>
  <si>
    <t>第18年</t>
  </si>
  <si>
    <t>第19年</t>
  </si>
  <si>
    <t>第20年</t>
  </si>
  <si>
    <t>第21年</t>
  </si>
  <si>
    <t>第22年</t>
  </si>
  <si>
    <t>第23年</t>
  </si>
  <si>
    <t>第24年</t>
  </si>
  <si>
    <t>第25年</t>
  </si>
  <si>
    <t>组件衰减后组件功率比率</t>
  </si>
  <si>
    <t>谷电充电电量（万kwh）</t>
  </si>
  <si>
    <t>峰电放电电量（万kwh）</t>
  </si>
  <si>
    <t>尖电放电电量（万kwh）</t>
  </si>
  <si>
    <t>谷电充电电量（kwh）</t>
  </si>
  <si>
    <t>峰电放电电量（kwh）</t>
  </si>
  <si>
    <t>尖电放电电量（kwh）</t>
  </si>
  <si>
    <t xml:space="preserve">内 部                                                 表2 营业收入、营业税金及附加估算表                     </t>
  </si>
  <si>
    <t>单位: 万元</t>
  </si>
  <si>
    <t>营业收入</t>
  </si>
  <si>
    <t>售电收入</t>
  </si>
  <si>
    <t>1.1.1</t>
  </si>
  <si>
    <t xml:space="preserve">峰电单价(元/kwh) </t>
  </si>
  <si>
    <t>峰电电量(万kwh)</t>
  </si>
  <si>
    <t>1.1.2</t>
  </si>
  <si>
    <t xml:space="preserve">尖电单价(元/kwh) </t>
  </si>
  <si>
    <t>尖电电量(万kwh)</t>
  </si>
  <si>
    <t>销项税额</t>
  </si>
  <si>
    <t>需求响应收入</t>
  </si>
  <si>
    <t xml:space="preserve">削峰响应单价(元/kwh) </t>
  </si>
  <si>
    <t>削峰响应电量(万kwh)</t>
  </si>
  <si>
    <t xml:space="preserve">填谷响应单价(元/kwh) </t>
  </si>
  <si>
    <t>填谷响应电量(万kwh)</t>
  </si>
  <si>
    <t>调整削峰影响放电收益</t>
  </si>
  <si>
    <t>营业税金及附加</t>
  </si>
  <si>
    <t>营业税</t>
  </si>
  <si>
    <t>消费税</t>
  </si>
  <si>
    <t>城市维护建设税</t>
  </si>
  <si>
    <t>地方教育费附加</t>
  </si>
  <si>
    <t>增值税</t>
  </si>
  <si>
    <t>进项税额</t>
  </si>
  <si>
    <t>内 部                                                   表3  固定资产折旧费估算表</t>
  </si>
  <si>
    <t>单位：万元</t>
  </si>
  <si>
    <t>房屋、建筑物</t>
  </si>
  <si>
    <t xml:space="preserve">  原值</t>
  </si>
  <si>
    <t xml:space="preserve">  当期折旧值</t>
  </si>
  <si>
    <t xml:space="preserve">  净值</t>
  </si>
  <si>
    <t>机器设备及其他</t>
  </si>
  <si>
    <t xml:space="preserve">  原值(扣除残值)</t>
  </si>
  <si>
    <t xml:space="preserve">  当期折旧费</t>
  </si>
  <si>
    <t>1、 本表适用于新设法人项目固定资产折旧费的估算，以及既有法人项目的“有项目”、“无项目”和增量固定资产折旧费的估算。当估算既有法人项目的“有项目”固定资产折旧费时，应将新增和利用原有部分固定资产分别列出，并分别计算折旧费。</t>
  </si>
  <si>
    <t>2、本表需把固定资产原值从投资估算表中取出。</t>
  </si>
  <si>
    <r>
      <rPr>
        <b/>
        <sz val="16"/>
        <rFont val="宋体"/>
        <charset val="134"/>
      </rPr>
      <t>内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部</t>
    </r>
    <r>
      <rPr>
        <b/>
        <sz val="16"/>
        <rFont val="Times New Roman"/>
        <charset val="134"/>
      </rPr>
      <t xml:space="preserve">                                                                                                   </t>
    </r>
    <r>
      <rPr>
        <b/>
        <sz val="16"/>
        <rFont val="宋体"/>
        <charset val="134"/>
      </rPr>
      <t>表4</t>
    </r>
    <r>
      <rPr>
        <b/>
        <sz val="16"/>
        <rFont val="Times New Roman"/>
        <charset val="134"/>
      </rPr>
      <t xml:space="preserve">  </t>
    </r>
    <r>
      <rPr>
        <b/>
        <sz val="16"/>
        <rFont val="宋体"/>
        <charset val="134"/>
      </rPr>
      <t>总成本费用估算表</t>
    </r>
  </si>
  <si>
    <t>运营成本</t>
  </si>
  <si>
    <t>充电费用（不含税）</t>
  </si>
  <si>
    <t>1.2.1</t>
  </si>
  <si>
    <t>充电费用（含税）</t>
  </si>
  <si>
    <t xml:space="preserve">谷电单价(元/kwh) </t>
  </si>
  <si>
    <t>谷电电量(万kwh)</t>
  </si>
  <si>
    <t>1.2.2</t>
  </si>
  <si>
    <t>税金</t>
  </si>
  <si>
    <t>制造费用</t>
  </si>
  <si>
    <t>1.4.1</t>
  </si>
  <si>
    <t>折旧费</t>
  </si>
  <si>
    <t>1.4.2</t>
  </si>
  <si>
    <t>财务费用</t>
  </si>
  <si>
    <t>利息支出</t>
  </si>
  <si>
    <t>总成本费用（1+2）</t>
  </si>
  <si>
    <t>经营成本（3-1.4.1-2.1）</t>
  </si>
  <si>
    <t>内 部                                                          表5 利润与利润分配表</t>
  </si>
  <si>
    <r>
      <rPr>
        <sz val="10"/>
        <rFont val="宋体"/>
        <charset val="134"/>
      </rPr>
      <t>项</t>
    </r>
    <r>
      <rPr>
        <sz val="10"/>
        <rFont val="Times New Roman"/>
        <charset val="134"/>
      </rPr>
      <t xml:space="preserve">    </t>
    </r>
    <r>
      <rPr>
        <sz val="10"/>
        <rFont val="宋体"/>
        <charset val="134"/>
      </rPr>
      <t>目</t>
    </r>
  </si>
  <si>
    <t>营业收入（不含增值税）</t>
  </si>
  <si>
    <t>应纳税所得额</t>
  </si>
  <si>
    <t>所得税</t>
  </si>
  <si>
    <t>净利润</t>
  </si>
  <si>
    <t>期初未分配利润</t>
  </si>
  <si>
    <t>可供分配利润</t>
  </si>
  <si>
    <t>提取法定盈余公积金</t>
  </si>
  <si>
    <t>累计法定盈余公积金</t>
  </si>
  <si>
    <t>可供投资者分配的利润</t>
  </si>
  <si>
    <t>全部投资应纳税所得额</t>
  </si>
  <si>
    <t>全部投资所得税</t>
  </si>
  <si>
    <t>累计未分配利润</t>
  </si>
  <si>
    <t>息税前利润（利润总额+利息支出）</t>
  </si>
  <si>
    <t>息税折旧摊销前利润（息税前利润+折旧+摊销）</t>
  </si>
  <si>
    <t>总投资收益率（ROI）首年</t>
  </si>
  <si>
    <t>资本金净利润率（ROE）</t>
  </si>
  <si>
    <t>资本金净利润率（首年）</t>
  </si>
  <si>
    <t>内 部                                   表6   还本付息计算表</t>
  </si>
  <si>
    <t>期初本息余额</t>
  </si>
  <si>
    <t>当期借款</t>
  </si>
  <si>
    <t>当期应计利息</t>
  </si>
  <si>
    <t>当期还本金</t>
  </si>
  <si>
    <t>每年还本付息额</t>
  </si>
  <si>
    <t>当期付利息</t>
  </si>
  <si>
    <t>期末借款余额</t>
  </si>
  <si>
    <t>还本资金来源</t>
  </si>
  <si>
    <t>当期可还本的未分配利润</t>
  </si>
  <si>
    <t>当期可还本的折旧费</t>
  </si>
  <si>
    <t>其他还本资金</t>
  </si>
  <si>
    <t>以前年度结余可用于还本资金</t>
  </si>
  <si>
    <t>指标计算</t>
  </si>
  <si>
    <t>年均值</t>
  </si>
  <si>
    <t>利息备付率（%）</t>
  </si>
  <si>
    <t>偿债备付率（%）</t>
  </si>
  <si>
    <t>借款偿还期</t>
  </si>
  <si>
    <t>两种还款方式：</t>
  </si>
  <si>
    <t>等额本金</t>
  </si>
  <si>
    <t>等额本息</t>
  </si>
  <si>
    <t>当期偿还本金</t>
  </si>
  <si>
    <t>当期可还本的摊销费</t>
  </si>
  <si>
    <t>内 部                                                         表7 项目资本金现金流量表</t>
  </si>
  <si>
    <t>现金流入</t>
  </si>
  <si>
    <t>回收固定资产余值</t>
  </si>
  <si>
    <t>现金流出</t>
  </si>
  <si>
    <t>项目资本金</t>
  </si>
  <si>
    <t>借款本金偿还</t>
  </si>
  <si>
    <t>借款利息支付</t>
  </si>
  <si>
    <t>经营成本</t>
  </si>
  <si>
    <t>营业税及附加</t>
  </si>
  <si>
    <t>净现金流量(1-2)</t>
  </si>
  <si>
    <t>累计净现金流量</t>
  </si>
  <si>
    <t>自有资金NPV（税后）</t>
  </si>
  <si>
    <t>自有资金收益率（税后）</t>
  </si>
  <si>
    <t>投资回收期(年）</t>
  </si>
  <si>
    <t xml:space="preserve">                                                                                                       </t>
  </si>
  <si>
    <t>内 部                                                                 表9 资产负债表</t>
  </si>
  <si>
    <t>资产</t>
  </si>
  <si>
    <t>流动资产</t>
  </si>
  <si>
    <t>累计盈余资金</t>
  </si>
  <si>
    <t>在建工程</t>
  </si>
  <si>
    <t>固定资产净值</t>
  </si>
  <si>
    <t>负债及所有者权益（2.4+2.5）</t>
  </si>
  <si>
    <t>流动负债总额</t>
  </si>
  <si>
    <t>2.1.1</t>
  </si>
  <si>
    <t>应付帐款</t>
  </si>
  <si>
    <t>2.1.2</t>
  </si>
  <si>
    <t>短期借款</t>
  </si>
  <si>
    <t>2.1.3</t>
  </si>
  <si>
    <t>预收帐款</t>
  </si>
  <si>
    <t>2.1.4</t>
  </si>
  <si>
    <t>流动资本金借款</t>
  </si>
  <si>
    <t>负债小计（2.1+2.2+2.3）</t>
  </si>
  <si>
    <t>所有者权益</t>
  </si>
  <si>
    <t>2.5.1</t>
  </si>
  <si>
    <t>实收资本（资本金）</t>
  </si>
  <si>
    <t>2.5.2</t>
  </si>
  <si>
    <t>累计盈余公积金</t>
  </si>
  <si>
    <t>2.5.3</t>
  </si>
  <si>
    <t>资本公积</t>
  </si>
  <si>
    <t>2.5.4</t>
  </si>
  <si>
    <t>资产负债率（%）</t>
  </si>
  <si>
    <t>1、对既有法人项目，一般只针对法人编制，可按需要增加科目，此时表中的资本金是指企业全部实收资本，包括原有和新增的实收资本。</t>
  </si>
  <si>
    <t>2、货币资金包括现金和累计盈余资金</t>
  </si>
  <si>
    <r>
      <rPr>
        <b/>
        <sz val="16"/>
        <rFont val="宋体"/>
        <charset val="134"/>
      </rPr>
      <t>内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部</t>
    </r>
    <r>
      <rPr>
        <b/>
        <sz val="16"/>
        <rFont val="Times New Roman"/>
        <charset val="134"/>
      </rPr>
      <t xml:space="preserve">                                                                     </t>
    </r>
    <r>
      <rPr>
        <b/>
        <sz val="16"/>
        <rFont val="宋体"/>
        <charset val="134"/>
      </rPr>
      <t>表8</t>
    </r>
    <r>
      <rPr>
        <b/>
        <sz val="16"/>
        <rFont val="Times New Roman"/>
        <charset val="134"/>
      </rPr>
      <t xml:space="preserve">  </t>
    </r>
    <r>
      <rPr>
        <b/>
        <sz val="16"/>
        <rFont val="宋体"/>
        <charset val="134"/>
      </rPr>
      <t>项目投资现金流量表</t>
    </r>
  </si>
  <si>
    <t>建设投资</t>
  </si>
  <si>
    <r>
      <rPr>
        <sz val="10"/>
        <rFont val="宋体"/>
        <charset val="134"/>
      </rPr>
      <t>所得税前净现金流量（</t>
    </r>
    <r>
      <rPr>
        <sz val="10"/>
        <rFont val="Times New Roman"/>
        <charset val="134"/>
      </rPr>
      <t>1-2</t>
    </r>
    <r>
      <rPr>
        <sz val="10"/>
        <rFont val="宋体"/>
        <charset val="134"/>
      </rPr>
      <t>）</t>
    </r>
  </si>
  <si>
    <t>累计所得税前净现金流量</t>
  </si>
  <si>
    <t>回收期计算（税前）</t>
  </si>
  <si>
    <t>调整所得税</t>
  </si>
  <si>
    <r>
      <rPr>
        <sz val="10"/>
        <rFont val="宋体"/>
        <charset val="134"/>
      </rPr>
      <t>所得税后净现金流量（</t>
    </r>
    <r>
      <rPr>
        <sz val="10"/>
        <rFont val="Times New Roman"/>
        <charset val="134"/>
      </rPr>
      <t>3-5</t>
    </r>
    <r>
      <rPr>
        <sz val="10"/>
        <rFont val="宋体"/>
        <charset val="134"/>
      </rPr>
      <t>）</t>
    </r>
  </si>
  <si>
    <t>累计所得税后净现金流量</t>
  </si>
  <si>
    <t>回收期计算（税后）</t>
  </si>
  <si>
    <t>计划指标：</t>
  </si>
  <si>
    <t>所得税前</t>
  </si>
  <si>
    <t>所得税后</t>
  </si>
  <si>
    <t>财务内部收益率（IRR）</t>
  </si>
  <si>
    <t>财务净现值（NPV）</t>
  </si>
  <si>
    <t>不含建设期</t>
  </si>
  <si>
    <t>贴现率</t>
  </si>
  <si>
    <t>1、本表适用于新设法人项目与既有法人项目的增量和“有项目”的现金流量分析；</t>
  </si>
  <si>
    <t>2、调整所得税以息税前利润为基数计算的所得税，区别于“利润与利润分配表”、“项目资本金现金流量表”和“财务计划现金流量表”中的所得税</t>
  </si>
  <si>
    <t>内 部                               表10  项目总投资使用计划与资金筹措表</t>
  </si>
  <si>
    <t>流动资金</t>
  </si>
  <si>
    <t>资金筹措</t>
  </si>
  <si>
    <r>
      <rPr>
        <sz val="10"/>
        <rFont val="宋体"/>
        <charset val="134"/>
      </rPr>
      <t>2.2</t>
    </r>
    <r>
      <rPr>
        <sz val="10"/>
        <rFont val="宋体"/>
        <charset val="134"/>
      </rPr>
      <t>.1</t>
    </r>
  </si>
  <si>
    <t>资本金（资金筹措）</t>
  </si>
  <si>
    <t>2.2.2</t>
  </si>
  <si>
    <t>流动资金资本金</t>
  </si>
  <si>
    <t>借款</t>
  </si>
  <si>
    <t>2.2.1</t>
  </si>
  <si>
    <t>长期借款本金</t>
  </si>
  <si>
    <t>2.2.3</t>
  </si>
  <si>
    <t>流动资金借款</t>
  </si>
  <si>
    <t>内 部                                                      表11 财务计划现金流量表</t>
  </si>
  <si>
    <t>项   目</t>
  </si>
  <si>
    <t>经营活动净现金流量（1.1-1.2）</t>
  </si>
  <si>
    <t>增值税进项税额</t>
  </si>
  <si>
    <t>1.2.3</t>
  </si>
  <si>
    <t>1.2.4</t>
  </si>
  <si>
    <t>投资活动净现金流量（2.1-2.2）</t>
  </si>
  <si>
    <t>筹资活动净现金流量（3.1-3.2）</t>
  </si>
  <si>
    <t>3.1.1</t>
  </si>
  <si>
    <t>项目资本金投入</t>
  </si>
  <si>
    <t>3.1.2</t>
  </si>
  <si>
    <t>建设投资借款</t>
  </si>
  <si>
    <t>3.2.1</t>
  </si>
  <si>
    <t>各种利息支出</t>
  </si>
  <si>
    <t>3.2.2</t>
  </si>
  <si>
    <t>偿还债务本金</t>
  </si>
  <si>
    <t>3.2.3</t>
  </si>
  <si>
    <t>应付利润（股利分配）</t>
  </si>
  <si>
    <t>3.2.4</t>
  </si>
  <si>
    <t>其他流出</t>
  </si>
  <si>
    <r>
      <rPr>
        <sz val="9"/>
        <rFont val="宋体"/>
        <charset val="134"/>
      </rPr>
      <t>净现金流量（</t>
    </r>
    <r>
      <rPr>
        <sz val="9"/>
        <rFont val="Times New Roman"/>
        <charset val="134"/>
      </rPr>
      <t>1+2+3</t>
    </r>
    <r>
      <rPr>
        <sz val="9"/>
        <rFont val="宋体"/>
        <charset val="134"/>
      </rPr>
      <t xml:space="preserve">）
</t>
    </r>
  </si>
  <si>
    <t>1、对于新设法人项目，本表投资活动的现金流入为零；</t>
  </si>
  <si>
    <t>2、对于既有法人项目，可适当增加科目；</t>
  </si>
  <si>
    <t>3、必要时，现金流出中可增加应付优先股股利科目；</t>
  </si>
  <si>
    <t>4、对外商投资项目应将职工奖励与福利基金作为经营活动现金流出。</t>
  </si>
  <si>
    <t>表14 财务计划现金流量表</t>
  </si>
  <si>
    <t>内 部                                                                 表12 EVA测算表</t>
  </si>
  <si>
    <t>税后净营业利润</t>
  </si>
  <si>
    <t>资本成本</t>
  </si>
  <si>
    <t>负债小计</t>
  </si>
  <si>
    <t>EVA</t>
  </si>
  <si>
    <t>△EVA</t>
  </si>
  <si>
    <t>方案类型</t>
  </si>
  <si>
    <t>变化幅度（%）</t>
  </si>
  <si>
    <t>税后投资回收期(年)</t>
  </si>
  <si>
    <t>税前项目投资财务内部收益率(%)</t>
  </si>
  <si>
    <t>税后项目投资财务内部收益率(%)</t>
  </si>
  <si>
    <t>资本金财务内部收益率（%）</t>
  </si>
  <si>
    <t>税后项目投资财务净现值（万元）</t>
  </si>
  <si>
    <t>总投资收益率（ROI）（%）</t>
  </si>
  <si>
    <t>项目资本金净利润率（ROE）（%）</t>
  </si>
  <si>
    <t>投资变化分析</t>
  </si>
  <si>
    <t>收益分成变化分析</t>
  </si>
  <si>
    <t>需求响应分成变化分析</t>
  </si>
  <si>
    <t>敏感度系数</t>
  </si>
  <si>
    <t>基本方案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</si>
</sst>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_ ;[Red]\-#,##0\ "/>
    <numFmt numFmtId="177" formatCode="0.00_ "/>
    <numFmt numFmtId="178" formatCode="0_ "/>
    <numFmt numFmtId="8" formatCode="&quot;￥&quot;#,##0.00;[Red]&quot;￥&quot;\-#,##0.00"/>
    <numFmt numFmtId="179" formatCode="0.00_);[Red]\(0.00\)"/>
    <numFmt numFmtId="180" formatCode="0.00_ ;[Red]\-0.00\ "/>
    <numFmt numFmtId="181" formatCode="0.0_ "/>
    <numFmt numFmtId="182" formatCode="0.000_ "/>
  </numFmts>
  <fonts count="48">
    <font>
      <sz val="11"/>
      <name val="等线"/>
      <charset val="134"/>
    </font>
    <font>
      <sz val="10"/>
      <color rgb="FF000000"/>
      <name val="宋体"/>
      <charset val="134"/>
    </font>
    <font>
      <b/>
      <sz val="11"/>
      <color rgb="FF008080"/>
      <name val="等线"/>
      <charset val="134"/>
    </font>
    <font>
      <sz val="11"/>
      <color rgb="FF000000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sz val="9"/>
      <name val="Times New Roman"/>
      <charset val="134"/>
    </font>
    <font>
      <b/>
      <sz val="14"/>
      <name val="宋体"/>
      <charset val="134"/>
    </font>
    <font>
      <sz val="9"/>
      <name val="宋体"/>
      <charset val="134"/>
    </font>
    <font>
      <sz val="11"/>
      <color rgb="FF000000"/>
      <name val="等线"/>
      <charset val="134"/>
    </font>
    <font>
      <sz val="12"/>
      <name val="Times New Roman"/>
      <charset val="134"/>
    </font>
    <font>
      <sz val="11"/>
      <name val="宋体"/>
      <charset val="134"/>
    </font>
    <font>
      <sz val="14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sz val="9"/>
      <color indexed="10"/>
      <name val="宋体"/>
      <charset val="134"/>
    </font>
    <font>
      <sz val="14"/>
      <color indexed="8"/>
      <name val="宋体"/>
      <charset val="134"/>
    </font>
    <font>
      <b/>
      <sz val="16"/>
      <color indexed="8"/>
      <name val="宋体"/>
      <charset val="134"/>
    </font>
    <font>
      <sz val="10"/>
      <color rgb="FFFF0000"/>
      <name val="宋体"/>
      <charset val="134"/>
    </font>
    <font>
      <sz val="10"/>
      <name val="等线"/>
      <charset val="134"/>
    </font>
    <font>
      <b/>
      <sz val="14"/>
      <name val="等线 Light"/>
      <charset val="134"/>
    </font>
    <font>
      <b/>
      <sz val="10"/>
      <name val="宋体"/>
      <charset val="134"/>
    </font>
    <font>
      <sz val="9"/>
      <name val="Arial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b/>
      <sz val="16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1" borderId="56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43" fontId="10" fillId="0" borderId="0">
      <alignment vertical="top"/>
      <protection locked="0"/>
    </xf>
    <xf numFmtId="0" fontId="28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5" borderId="57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59" applyNumberFormat="0" applyFill="0" applyAlignment="0" applyProtection="0">
      <alignment vertical="center"/>
    </xf>
    <xf numFmtId="0" fontId="41" fillId="0" borderId="59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5" fillId="0" borderId="61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3" fillId="22" borderId="63" applyNumberFormat="0" applyAlignment="0" applyProtection="0">
      <alignment vertical="center"/>
    </xf>
    <xf numFmtId="0" fontId="34" fillId="22" borderId="56" applyNumberFormat="0" applyAlignment="0" applyProtection="0">
      <alignment vertical="center"/>
    </xf>
    <xf numFmtId="0" fontId="40" fillId="28" borderId="62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0" fillId="0" borderId="58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44" fillId="0" borderId="0">
      <protection locked="0"/>
    </xf>
    <xf numFmtId="43" fontId="44" fillId="0" borderId="0">
      <alignment vertical="top"/>
      <protection locked="0"/>
    </xf>
  </cellStyleXfs>
  <cellXfs count="30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2" borderId="1" xfId="0" applyFont="1" applyFill="1" applyBorder="1" applyAlignment="1" applyProtection="1">
      <alignment horizontal="justify" vertical="center"/>
      <protection locked="0"/>
    </xf>
    <xf numFmtId="0" fontId="1" fillId="2" borderId="2" xfId="0" applyFont="1" applyFill="1" applyBorder="1" applyAlignment="1" applyProtection="1">
      <alignment horizontal="justify" vertical="center"/>
      <protection locked="0"/>
    </xf>
    <xf numFmtId="0" fontId="1" fillId="2" borderId="3" xfId="0" applyFont="1" applyFill="1" applyBorder="1" applyAlignment="1" applyProtection="1">
      <alignment horizontal="justify" vertical="center"/>
      <protection locked="0"/>
    </xf>
    <xf numFmtId="0" fontId="1" fillId="2" borderId="4" xfId="0" applyFont="1" applyFill="1" applyBorder="1" applyAlignment="1" applyProtection="1">
      <alignment horizontal="justify" vertical="center"/>
      <protection locked="0"/>
    </xf>
    <xf numFmtId="10" fontId="1" fillId="2" borderId="4" xfId="0" applyNumberFormat="1" applyFont="1" applyFill="1" applyBorder="1" applyAlignment="1" applyProtection="1">
      <alignment horizontal="justify" vertical="center"/>
      <protection locked="0"/>
    </xf>
    <xf numFmtId="177" fontId="1" fillId="2" borderId="4" xfId="0" applyNumberFormat="1" applyFont="1" applyFill="1" applyBorder="1" applyAlignment="1" applyProtection="1">
      <alignment horizontal="justify" vertical="center"/>
      <protection locked="0"/>
    </xf>
    <xf numFmtId="0" fontId="1" fillId="2" borderId="5" xfId="0" applyFont="1" applyFill="1" applyBorder="1" applyAlignment="1" applyProtection="1">
      <alignment horizontal="justify" vertical="center"/>
      <protection locked="0"/>
    </xf>
    <xf numFmtId="0" fontId="1" fillId="2" borderId="6" xfId="0" applyFont="1" applyFill="1" applyBorder="1" applyAlignment="1" applyProtection="1">
      <alignment horizontal="justify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78" fontId="1" fillId="2" borderId="4" xfId="0" applyNumberFormat="1" applyFont="1" applyFill="1" applyBorder="1" applyAlignment="1" applyProtection="1">
      <alignment horizontal="justify" vertical="center"/>
      <protection locked="0"/>
    </xf>
    <xf numFmtId="0" fontId="3" fillId="2" borderId="0" xfId="0" applyFont="1" applyFill="1" applyProtection="1">
      <alignment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3" fillId="2" borderId="7" xfId="0" applyFont="1" applyFill="1" applyBorder="1" applyAlignment="1" applyProtection="1">
      <alignment horizontal="right" vertical="center"/>
      <protection locked="0"/>
    </xf>
    <xf numFmtId="178" fontId="5" fillId="3" borderId="8" xfId="0" applyNumberFormat="1" applyFont="1" applyFill="1" applyBorder="1" applyAlignment="1" applyProtection="1">
      <alignment horizontal="center" vertical="center"/>
      <protection locked="0"/>
    </xf>
    <xf numFmtId="178" fontId="5" fillId="3" borderId="9" xfId="0" applyNumberFormat="1" applyFont="1" applyFill="1" applyBorder="1" applyAlignment="1" applyProtection="1">
      <alignment horizontal="center" vertical="center"/>
      <protection locked="0"/>
    </xf>
    <xf numFmtId="178" fontId="5" fillId="3" borderId="9" xfId="0" applyNumberFormat="1" applyFont="1" applyFill="1" applyBorder="1" applyAlignment="1" applyProtection="1">
      <alignment horizontal="center" vertical="center" shrinkToFit="1"/>
      <protection locked="0"/>
    </xf>
    <xf numFmtId="178" fontId="5" fillId="3" borderId="10" xfId="0" applyNumberFormat="1" applyFont="1" applyFill="1" applyBorder="1" applyAlignment="1" applyProtection="1">
      <alignment horizontal="center" vertical="center"/>
      <protection locked="0"/>
    </xf>
    <xf numFmtId="178" fontId="5" fillId="3" borderId="11" xfId="0" applyNumberFormat="1" applyFont="1" applyFill="1" applyBorder="1" applyAlignment="1" applyProtection="1">
      <alignment horizontal="center" vertical="center"/>
      <protection locked="0"/>
    </xf>
    <xf numFmtId="178" fontId="5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6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justify" vertical="center" wrapText="1"/>
      <protection locked="0"/>
    </xf>
    <xf numFmtId="43" fontId="7" fillId="5" borderId="13" xfId="8" applyFont="1" applyFill="1" applyBorder="1" applyAlignment="1" applyProtection="1">
      <alignment horizontal="center" vertical="center" shrinkToFit="1"/>
      <protection locked="0"/>
    </xf>
    <xf numFmtId="177" fontId="5" fillId="4" borderId="13" xfId="0" applyNumberFormat="1" applyFont="1" applyFill="1" applyBorder="1" applyAlignment="1" applyProtection="1">
      <alignment horizontal="justify" vertical="center" wrapText="1"/>
      <protection locked="0"/>
    </xf>
    <xf numFmtId="0" fontId="6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15" xfId="0" applyFont="1" applyFill="1" applyBorder="1" applyAlignment="1" applyProtection="1">
      <alignment horizontal="justify" vertical="center" wrapText="1"/>
      <protection locked="0"/>
    </xf>
    <xf numFmtId="43" fontId="7" fillId="5" borderId="15" xfId="8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right" vertical="center"/>
      <protection locked="0"/>
    </xf>
    <xf numFmtId="178" fontId="9" fillId="3" borderId="8" xfId="0" applyNumberFormat="1" applyFont="1" applyFill="1" applyBorder="1" applyAlignment="1" applyProtection="1">
      <alignment horizontal="center" vertical="center"/>
      <protection locked="0"/>
    </xf>
    <xf numFmtId="178" fontId="9" fillId="3" borderId="9" xfId="0" applyNumberFormat="1" applyFont="1" applyFill="1" applyBorder="1" applyAlignment="1" applyProtection="1">
      <alignment horizontal="center" vertical="center"/>
      <protection locked="0"/>
    </xf>
    <xf numFmtId="43" fontId="7" fillId="5" borderId="13" xfId="8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Protection="1">
      <alignment vertical="center"/>
      <protection locked="0"/>
    </xf>
    <xf numFmtId="178" fontId="5" fillId="3" borderId="16" xfId="0" applyNumberFormat="1" applyFont="1" applyFill="1" applyBorder="1" applyAlignment="1" applyProtection="1">
      <alignment horizontal="center" vertical="center" shrinkToFit="1"/>
      <protection locked="0"/>
    </xf>
    <xf numFmtId="178" fontId="5" fillId="3" borderId="17" xfId="0" applyNumberFormat="1" applyFont="1" applyFill="1" applyBorder="1" applyAlignment="1" applyProtection="1">
      <alignment horizontal="center" vertical="center" shrinkToFit="1"/>
      <protection locked="0"/>
    </xf>
    <xf numFmtId="178" fontId="9" fillId="3" borderId="16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center" vertical="center" wrapText="1"/>
      <protection locked="0"/>
    </xf>
    <xf numFmtId="0" fontId="9" fillId="4" borderId="13" xfId="0" applyFont="1" applyFill="1" applyBorder="1" applyAlignment="1" applyProtection="1">
      <alignment horizontal="justify" vertical="center" wrapText="1"/>
      <protection locked="0"/>
    </xf>
    <xf numFmtId="43" fontId="7" fillId="5" borderId="13" xfId="0" applyNumberFormat="1" applyFont="1" applyFill="1" applyBorder="1" applyAlignment="1" applyProtection="1">
      <alignment horizontal="center" vertical="top" wrapText="1"/>
      <protection locked="0"/>
    </xf>
    <xf numFmtId="0" fontId="7" fillId="5" borderId="13" xfId="0" applyFont="1" applyFill="1" applyBorder="1" applyAlignment="1" applyProtection="1">
      <alignment horizontal="center" vertical="top" wrapText="1"/>
      <protection locked="0"/>
    </xf>
    <xf numFmtId="0" fontId="7" fillId="4" borderId="14" xfId="0" applyFont="1" applyFill="1" applyBorder="1" applyAlignment="1" applyProtection="1">
      <alignment horizontal="center" vertical="center" wrapText="1"/>
      <protection locked="0"/>
    </xf>
    <xf numFmtId="43" fontId="7" fillId="4" borderId="15" xfId="0" applyNumberFormat="1" applyFont="1" applyFill="1" applyBorder="1" applyAlignment="1" applyProtection="1">
      <alignment horizontal="center" vertical="center" wrapText="1"/>
      <protection locked="0"/>
    </xf>
    <xf numFmtId="43" fontId="7" fillId="5" borderId="15" xfId="0" applyNumberFormat="1" applyFont="1" applyFill="1" applyBorder="1" applyAlignment="1" applyProtection="1">
      <alignment horizontal="center" vertical="top" wrapText="1"/>
      <protection locked="0"/>
    </xf>
    <xf numFmtId="43" fontId="7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Protection="1">
      <alignment vertical="center"/>
      <protection locked="0"/>
    </xf>
    <xf numFmtId="0" fontId="10" fillId="2" borderId="0" xfId="0" applyFont="1" applyFill="1" applyProtection="1">
      <alignment vertical="center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9" fillId="2" borderId="0" xfId="0" applyFont="1" applyFill="1" applyProtection="1">
      <alignment vertical="center"/>
      <protection locked="0"/>
    </xf>
    <xf numFmtId="43" fontId="9" fillId="2" borderId="0" xfId="0" applyNumberFormat="1" applyFont="1" applyFill="1" applyProtection="1">
      <alignment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 vertical="center"/>
      <protection locked="0"/>
    </xf>
    <xf numFmtId="0" fontId="5" fillId="4" borderId="12" xfId="0" applyFont="1" applyFill="1" applyBorder="1" applyAlignment="1" applyProtection="1">
      <alignment horizontal="left" vertical="center"/>
      <protection locked="0"/>
    </xf>
    <xf numFmtId="0" fontId="5" fillId="4" borderId="13" xfId="0" applyFont="1" applyFill="1" applyBorder="1" applyProtection="1">
      <alignment vertical="center"/>
      <protection locked="0"/>
    </xf>
    <xf numFmtId="43" fontId="5" fillId="5" borderId="13" xfId="0" applyNumberFormat="1" applyFont="1" applyFill="1" applyBorder="1" applyProtection="1">
      <alignment vertical="center"/>
      <protection locked="0"/>
    </xf>
    <xf numFmtId="0" fontId="5" fillId="3" borderId="16" xfId="0" applyFont="1" applyFill="1" applyBorder="1" applyAlignment="1" applyProtection="1">
      <alignment horizontal="center" vertical="center"/>
      <protection locked="0"/>
    </xf>
    <xf numFmtId="43" fontId="5" fillId="5" borderId="19" xfId="0" applyNumberFormat="1" applyFont="1" applyFill="1" applyBorder="1" applyProtection="1">
      <alignment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177" fontId="9" fillId="2" borderId="0" xfId="0" applyNumberFormat="1" applyFont="1" applyFill="1" applyProtection="1">
      <alignment vertical="center"/>
      <protection locked="0"/>
    </xf>
    <xf numFmtId="0" fontId="5" fillId="2" borderId="0" xfId="0" applyFont="1" applyFill="1" applyProtection="1">
      <alignment vertical="center"/>
      <protection locked="0"/>
    </xf>
    <xf numFmtId="0" fontId="12" fillId="2" borderId="0" xfId="0" applyFont="1" applyFill="1" applyProtection="1">
      <alignment vertical="center"/>
      <protection locked="0"/>
    </xf>
    <xf numFmtId="0" fontId="13" fillId="2" borderId="0" xfId="0" applyFont="1" applyFill="1" applyAlignment="1" applyProtection="1">
      <alignment vertical="center" shrinkToFit="1"/>
      <protection locked="0"/>
    </xf>
    <xf numFmtId="0" fontId="13" fillId="2" borderId="0" xfId="0" applyFont="1" applyFill="1" applyProtection="1">
      <alignment vertical="center"/>
      <protection locked="0"/>
    </xf>
    <xf numFmtId="0" fontId="9" fillId="2" borderId="7" xfId="0" applyFont="1" applyFill="1" applyBorder="1" applyAlignment="1" applyProtection="1">
      <alignment horizontal="right" vertical="center"/>
      <protection locked="0"/>
    </xf>
    <xf numFmtId="177" fontId="5" fillId="6" borderId="13" xfId="49" applyNumberFormat="1" applyFont="1" applyFill="1" applyBorder="1" applyAlignment="1" applyProtection="1">
      <alignment horizontal="justify" vertical="center" wrapText="1"/>
      <protection locked="0"/>
    </xf>
    <xf numFmtId="41" fontId="7" fillId="5" borderId="13" xfId="50" applyNumberFormat="1" applyFont="1" applyFill="1" applyBorder="1" applyAlignment="1" applyProtection="1">
      <alignment horizontal="center" vertical="center" shrinkToFit="1"/>
      <protection locked="0"/>
    </xf>
    <xf numFmtId="43" fontId="7" fillId="6" borderId="13" xfId="50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Alignment="1" applyProtection="1">
      <alignment horizontal="center" vertical="center" shrinkToFit="1"/>
      <protection locked="0"/>
    </xf>
    <xf numFmtId="0" fontId="9" fillId="2" borderId="0" xfId="0" applyFont="1" applyFill="1" applyAlignment="1" applyProtection="1">
      <alignment vertical="center" shrinkToFit="1"/>
      <protection locked="0"/>
    </xf>
    <xf numFmtId="0" fontId="5" fillId="4" borderId="0" xfId="0" applyFont="1" applyFill="1" applyProtection="1">
      <alignment vertical="center"/>
      <protection locked="0"/>
    </xf>
    <xf numFmtId="10" fontId="9" fillId="5" borderId="0" xfId="0" applyNumberFormat="1" applyFont="1" applyFill="1" applyAlignment="1" applyProtection="1">
      <alignment vertical="center" shrinkToFit="1"/>
      <protection locked="0"/>
    </xf>
    <xf numFmtId="0" fontId="9" fillId="5" borderId="0" xfId="0" applyFont="1" applyFill="1" applyAlignment="1" applyProtection="1">
      <alignment vertical="center" shrinkToFit="1"/>
      <protection locked="0"/>
    </xf>
    <xf numFmtId="176" fontId="9" fillId="5" borderId="0" xfId="0" applyNumberFormat="1" applyFont="1" applyFill="1" applyAlignment="1" applyProtection="1">
      <alignment vertical="center" shrinkToFit="1"/>
      <protection locked="0"/>
    </xf>
    <xf numFmtId="177" fontId="9" fillId="5" borderId="0" xfId="0" applyNumberFormat="1" applyFont="1" applyFill="1" applyAlignment="1" applyProtection="1">
      <alignment vertical="center" shrinkToFit="1"/>
      <protection locked="0"/>
    </xf>
    <xf numFmtId="9" fontId="9" fillId="5" borderId="0" xfId="0" applyNumberFormat="1" applyFont="1" applyFill="1" applyAlignment="1" applyProtection="1">
      <alignment horizontal="center" vertical="center" shrinkToFit="1"/>
      <protection locked="0"/>
    </xf>
    <xf numFmtId="0" fontId="9" fillId="2" borderId="0" xfId="0" applyFont="1" applyFill="1" applyAlignment="1" applyProtection="1">
      <alignment horizontal="left" vertical="center" shrinkToFit="1"/>
      <protection locked="0"/>
    </xf>
    <xf numFmtId="177" fontId="9" fillId="2" borderId="0" xfId="0" applyNumberFormat="1" applyFont="1" applyFill="1" applyAlignment="1" applyProtection="1">
      <alignment vertical="center" shrinkToFit="1"/>
      <protection locked="0"/>
    </xf>
    <xf numFmtId="0" fontId="9" fillId="6" borderId="0" xfId="0" applyFont="1" applyFill="1" applyAlignment="1" applyProtection="1">
      <alignment horizontal="left" vertical="center"/>
      <protection locked="0"/>
    </xf>
    <xf numFmtId="0" fontId="12" fillId="2" borderId="0" xfId="0" applyFont="1" applyFill="1" applyAlignment="1" applyProtection="1">
      <alignment vertical="center" shrinkToFit="1"/>
      <protection locked="0"/>
    </xf>
    <xf numFmtId="43" fontId="9" fillId="2" borderId="0" xfId="0" applyNumberFormat="1" applyFont="1" applyFill="1" applyAlignment="1" applyProtection="1">
      <alignment vertical="center" shrinkToFit="1"/>
      <protection locked="0"/>
    </xf>
    <xf numFmtId="43" fontId="7" fillId="5" borderId="13" xfId="8" applyFont="1" applyFill="1" applyBorder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justify" vertical="center" wrapText="1"/>
      <protection locked="0"/>
    </xf>
    <xf numFmtId="43" fontId="5" fillId="5" borderId="13" xfId="0" applyNumberFormat="1" applyFont="1" applyFill="1" applyBorder="1" applyAlignment="1" applyProtection="1">
      <alignment horizontal="center" vertical="top" wrapText="1"/>
      <protection locked="0"/>
    </xf>
    <xf numFmtId="43" fontId="5" fillId="5" borderId="13" xfId="8" applyFont="1" applyFill="1" applyBorder="1" applyAlignment="1" applyProtection="1">
      <alignment horizontal="center" vertical="top" wrapText="1"/>
      <protection locked="0"/>
    </xf>
    <xf numFmtId="0" fontId="5" fillId="5" borderId="13" xfId="0" applyFont="1" applyFill="1" applyBorder="1" applyAlignment="1" applyProtection="1">
      <alignment horizontal="center" vertical="top" wrapText="1"/>
      <protection locked="0"/>
    </xf>
    <xf numFmtId="0" fontId="5" fillId="4" borderId="13" xfId="0" applyFont="1" applyFill="1" applyBorder="1" applyAlignment="1" applyProtection="1">
      <alignment horizontal="left" vertical="center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10" fontId="5" fillId="5" borderId="15" xfId="0" applyNumberFormat="1" applyFont="1" applyFill="1" applyBorder="1" applyAlignment="1" applyProtection="1">
      <alignment horizontal="center" vertical="top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10" fontId="5" fillId="2" borderId="0" xfId="0" applyNumberFormat="1" applyFont="1" applyFill="1" applyAlignment="1" applyProtection="1">
      <alignment horizontal="center" vertical="top" wrapText="1"/>
      <protection locked="0"/>
    </xf>
    <xf numFmtId="43" fontId="5" fillId="2" borderId="0" xfId="0" applyNumberFormat="1" applyFont="1" applyFill="1" applyAlignment="1" applyProtection="1">
      <alignment horizontal="center" vertical="top" wrapText="1"/>
      <protection locked="0"/>
    </xf>
    <xf numFmtId="0" fontId="5" fillId="2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justify" vertical="center"/>
      <protection locked="0"/>
    </xf>
    <xf numFmtId="43" fontId="5" fillId="2" borderId="0" xfId="0" applyNumberFormat="1" applyFont="1" applyFill="1" applyProtection="1">
      <alignment vertical="center"/>
      <protection locked="0"/>
    </xf>
    <xf numFmtId="178" fontId="5" fillId="3" borderId="16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top" wrapText="1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43" fontId="5" fillId="5" borderId="19" xfId="8" applyFont="1" applyFill="1" applyBorder="1" applyAlignment="1" applyProtection="1">
      <alignment horizontal="center" vertical="top" wrapText="1"/>
      <protection locked="0"/>
    </xf>
    <xf numFmtId="43" fontId="5" fillId="5" borderId="19" xfId="0" applyNumberFormat="1" applyFont="1" applyFill="1" applyBorder="1" applyAlignment="1" applyProtection="1">
      <alignment horizontal="center" vertical="top" wrapText="1"/>
      <protection locked="0"/>
    </xf>
    <xf numFmtId="0" fontId="5" fillId="5" borderId="19" xfId="0" applyFont="1" applyFill="1" applyBorder="1" applyProtection="1">
      <alignment vertical="center"/>
      <protection locked="0"/>
    </xf>
    <xf numFmtId="10" fontId="5" fillId="5" borderId="20" xfId="0" applyNumberFormat="1" applyFont="1" applyFill="1" applyBorder="1" applyAlignment="1" applyProtection="1">
      <alignment horizontal="center" vertical="top" wrapText="1"/>
      <protection locked="0"/>
    </xf>
    <xf numFmtId="0" fontId="14" fillId="2" borderId="0" xfId="0" applyFont="1" applyFill="1" applyAlignment="1" applyProtection="1">
      <alignment horizontal="left" vertical="center"/>
      <protection locked="0"/>
    </xf>
    <xf numFmtId="0" fontId="15" fillId="2" borderId="7" xfId="0" applyFont="1" applyFill="1" applyBorder="1" applyAlignment="1" applyProtection="1">
      <alignment horizontal="right" vertical="center"/>
      <protection locked="0"/>
    </xf>
    <xf numFmtId="178" fontId="5" fillId="3" borderId="21" xfId="0" applyNumberFormat="1" applyFont="1" applyFill="1" applyBorder="1" applyAlignment="1" applyProtection="1">
      <alignment horizontal="center" vertical="center"/>
      <protection locked="0"/>
    </xf>
    <xf numFmtId="178" fontId="5" fillId="3" borderId="22" xfId="0" applyNumberFormat="1" applyFont="1" applyFill="1" applyBorder="1" applyAlignment="1" applyProtection="1">
      <alignment horizontal="center" vertical="center"/>
      <protection locked="0"/>
    </xf>
    <xf numFmtId="177" fontId="5" fillId="3" borderId="11" xfId="0" applyNumberFormat="1" applyFont="1" applyFill="1" applyBorder="1" applyAlignment="1" applyProtection="1">
      <alignment horizontal="center" vertical="center"/>
      <protection locked="0"/>
    </xf>
    <xf numFmtId="0" fontId="5" fillId="4" borderId="12" xfId="0" applyFont="1" applyFill="1" applyBorder="1" applyAlignment="1" applyProtection="1">
      <alignment horizontal="center" vertical="center"/>
      <protection locked="0"/>
    </xf>
    <xf numFmtId="177" fontId="9" fillId="5" borderId="13" xfId="0" applyNumberFormat="1" applyFont="1" applyFill="1" applyBorder="1" applyProtection="1">
      <alignment vertical="center"/>
      <protection locked="0"/>
    </xf>
    <xf numFmtId="177" fontId="16" fillId="5" borderId="13" xfId="0" applyNumberFormat="1" applyFont="1" applyFill="1" applyBorder="1" applyProtection="1">
      <alignment vertical="center"/>
      <protection locked="0"/>
    </xf>
    <xf numFmtId="0" fontId="9" fillId="5" borderId="13" xfId="0" applyFont="1" applyFill="1" applyBorder="1" applyProtection="1">
      <alignment vertical="center"/>
      <protection locked="0"/>
    </xf>
    <xf numFmtId="0" fontId="5" fillId="4" borderId="14" xfId="0" applyFont="1" applyFill="1" applyBorder="1" applyAlignment="1" applyProtection="1">
      <alignment horizontal="center" vertical="center"/>
      <protection locked="0"/>
    </xf>
    <xf numFmtId="0" fontId="5" fillId="4" borderId="15" xfId="0" applyFont="1" applyFill="1" applyBorder="1" applyProtection="1">
      <alignment vertical="center"/>
      <protection locked="0"/>
    </xf>
    <xf numFmtId="177" fontId="9" fillId="5" borderId="15" xfId="0" applyNumberFormat="1" applyFont="1" applyFill="1" applyBorder="1" applyProtection="1">
      <alignment vertical="center"/>
      <protection locked="0"/>
    </xf>
    <xf numFmtId="178" fontId="9" fillId="3" borderId="11" xfId="0" applyNumberFormat="1" applyFont="1" applyFill="1" applyBorder="1" applyAlignment="1" applyProtection="1">
      <alignment horizontal="center" vertical="center"/>
      <protection locked="0"/>
    </xf>
    <xf numFmtId="177" fontId="5" fillId="2" borderId="0" xfId="0" applyNumberFormat="1" applyFont="1" applyFill="1" applyProtection="1">
      <alignment vertical="center"/>
      <protection locked="0"/>
    </xf>
    <xf numFmtId="10" fontId="5" fillId="2" borderId="0" xfId="0" applyNumberFormat="1" applyFont="1" applyFill="1" applyProtection="1">
      <alignment vertical="center"/>
      <protection locked="0"/>
    </xf>
    <xf numFmtId="9" fontId="5" fillId="2" borderId="0" xfId="0" applyNumberFormat="1" applyFont="1" applyFill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17" fillId="2" borderId="0" xfId="0" applyFont="1" applyFill="1" applyProtection="1">
      <alignment vertical="center"/>
      <protection locked="0"/>
    </xf>
    <xf numFmtId="0" fontId="15" fillId="2" borderId="0" xfId="0" applyFont="1" applyFill="1" applyProtection="1">
      <alignment vertical="center"/>
      <protection locked="0"/>
    </xf>
    <xf numFmtId="0" fontId="18" fillId="2" borderId="7" xfId="0" applyFont="1" applyFill="1" applyBorder="1" applyAlignment="1" applyProtection="1">
      <alignment horizontal="left" vertic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Protection="1">
      <alignment vertical="center"/>
      <protection locked="0"/>
    </xf>
    <xf numFmtId="43" fontId="9" fillId="5" borderId="13" xfId="0" applyNumberFormat="1" applyFont="1" applyFill="1" applyBorder="1" applyProtection="1">
      <alignment vertical="center"/>
      <protection locked="0"/>
    </xf>
    <xf numFmtId="178" fontId="9" fillId="5" borderId="13" xfId="0" applyNumberFormat="1" applyFont="1" applyFill="1" applyBorder="1" applyAlignment="1" applyProtection="1">
      <alignment horizontal="center" vertical="center"/>
      <protection locked="0"/>
    </xf>
    <xf numFmtId="10" fontId="9" fillId="5" borderId="13" xfId="0" applyNumberFormat="1" applyFont="1" applyFill="1" applyBorder="1" applyProtection="1">
      <alignment vertical="center"/>
      <protection locked="0"/>
    </xf>
    <xf numFmtId="0" fontId="9" fillId="4" borderId="14" xfId="0" applyFont="1" applyFill="1" applyBorder="1" applyProtection="1">
      <alignment vertical="center"/>
      <protection locked="0"/>
    </xf>
    <xf numFmtId="0" fontId="9" fillId="4" borderId="15" xfId="0" applyFont="1" applyFill="1" applyBorder="1" applyProtection="1">
      <alignment vertical="center"/>
      <protection locked="0"/>
    </xf>
    <xf numFmtId="0" fontId="9" fillId="5" borderId="15" xfId="0" applyFont="1" applyFill="1" applyBorder="1" applyProtection="1">
      <alignment vertical="center"/>
      <protection locked="0"/>
    </xf>
    <xf numFmtId="8" fontId="9" fillId="2" borderId="0" xfId="0" applyNumberFormat="1" applyFont="1" applyFill="1" applyProtection="1">
      <alignment vertical="center"/>
      <protection locked="0"/>
    </xf>
    <xf numFmtId="0" fontId="9" fillId="5" borderId="23" xfId="0" applyFont="1" applyFill="1" applyBorder="1" applyProtection="1">
      <alignment vertical="center"/>
      <protection locked="0"/>
    </xf>
    <xf numFmtId="0" fontId="9" fillId="5" borderId="24" xfId="0" applyFont="1" applyFill="1" applyBorder="1" applyProtection="1">
      <alignment vertical="center"/>
      <protection locked="0"/>
    </xf>
    <xf numFmtId="177" fontId="9" fillId="5" borderId="9" xfId="0" applyNumberFormat="1" applyFont="1" applyFill="1" applyBorder="1" applyProtection="1">
      <alignment vertical="center"/>
      <protection locked="0"/>
    </xf>
    <xf numFmtId="0" fontId="9" fillId="5" borderId="25" xfId="0" applyFont="1" applyFill="1" applyBorder="1" applyProtection="1">
      <alignment vertical="center"/>
      <protection locked="0"/>
    </xf>
    <xf numFmtId="0" fontId="9" fillId="5" borderId="26" xfId="0" applyFont="1" applyFill="1" applyBorder="1" applyProtection="1">
      <alignment vertical="center"/>
      <protection locked="0"/>
    </xf>
    <xf numFmtId="0" fontId="9" fillId="5" borderId="27" xfId="0" applyFont="1" applyFill="1" applyBorder="1" applyProtection="1">
      <alignment vertical="center"/>
      <protection locked="0"/>
    </xf>
    <xf numFmtId="0" fontId="9" fillId="5" borderId="28" xfId="0" applyFont="1" applyFill="1" applyBorder="1" applyProtection="1">
      <alignment vertical="center"/>
      <protection locked="0"/>
    </xf>
    <xf numFmtId="0" fontId="9" fillId="5" borderId="8" xfId="0" applyFont="1" applyFill="1" applyBorder="1" applyProtection="1">
      <alignment vertical="center"/>
      <protection locked="0"/>
    </xf>
    <xf numFmtId="0" fontId="9" fillId="5" borderId="12" xfId="0" applyFont="1" applyFill="1" applyBorder="1" applyProtection="1">
      <alignment vertical="center"/>
      <protection locked="0"/>
    </xf>
    <xf numFmtId="0" fontId="9" fillId="5" borderId="14" xfId="0" applyFont="1" applyFill="1" applyBorder="1" applyProtection="1">
      <alignment vertical="center"/>
      <protection locked="0"/>
    </xf>
    <xf numFmtId="177" fontId="9" fillId="5" borderId="16" xfId="0" applyNumberFormat="1" applyFont="1" applyFill="1" applyBorder="1" applyProtection="1">
      <alignment vertical="center"/>
      <protection locked="0"/>
    </xf>
    <xf numFmtId="177" fontId="9" fillId="5" borderId="20" xfId="0" applyNumberFormat="1" applyFont="1" applyFill="1" applyBorder="1" applyProtection="1">
      <alignment vertical="center"/>
      <protection locked="0"/>
    </xf>
    <xf numFmtId="0" fontId="18" fillId="2" borderId="0" xfId="0" applyFont="1" applyFill="1" applyProtection="1">
      <alignment vertical="center"/>
      <protection locked="0"/>
    </xf>
    <xf numFmtId="0" fontId="6" fillId="4" borderId="12" xfId="0" applyFont="1" applyFill="1" applyBorder="1" applyAlignment="1" applyProtection="1">
      <alignment horizontal="justify" vertical="center" wrapText="1"/>
      <protection locked="0"/>
    </xf>
    <xf numFmtId="0" fontId="19" fillId="4" borderId="13" xfId="0" applyFont="1" applyFill="1" applyBorder="1" applyAlignment="1" applyProtection="1">
      <alignment horizontal="justify" vertical="center" wrapText="1"/>
      <protection locked="0"/>
    </xf>
    <xf numFmtId="43" fontId="6" fillId="5" borderId="13" xfId="8" applyFont="1" applyFill="1" applyBorder="1" applyAlignment="1" applyProtection="1">
      <alignment horizontal="center" vertical="center" wrapText="1"/>
      <protection locked="0"/>
    </xf>
    <xf numFmtId="43" fontId="6" fillId="2" borderId="13" xfId="8" applyFont="1" applyFill="1" applyBorder="1" applyAlignment="1" applyProtection="1">
      <alignment horizontal="center" vertical="center" wrapText="1"/>
      <protection locked="0"/>
    </xf>
    <xf numFmtId="0" fontId="6" fillId="4" borderId="14" xfId="0" applyFont="1" applyFill="1" applyBorder="1" applyAlignment="1" applyProtection="1">
      <alignment horizontal="justify" vertical="center" wrapText="1"/>
      <protection locked="0"/>
    </xf>
    <xf numFmtId="43" fontId="6" fillId="5" borderId="15" xfId="8" applyFont="1" applyFill="1" applyBorder="1" applyAlignment="1" applyProtection="1">
      <alignment horizontal="center" vertical="center" wrapText="1"/>
      <protection locked="0"/>
    </xf>
    <xf numFmtId="0" fontId="5" fillId="3" borderId="16" xfId="0" applyFont="1" applyFill="1" applyBorder="1" applyProtection="1">
      <alignment vertical="center"/>
      <protection locked="0"/>
    </xf>
    <xf numFmtId="0" fontId="5" fillId="3" borderId="29" xfId="0" applyFont="1" applyFill="1" applyBorder="1" applyProtection="1">
      <alignment vertical="center"/>
      <protection locked="0"/>
    </xf>
    <xf numFmtId="178" fontId="9" fillId="3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4" borderId="12" xfId="0" applyFont="1" applyFill="1" applyBorder="1" applyAlignment="1" applyProtection="1">
      <alignment horizontal="justify" vertical="center" wrapText="1"/>
      <protection locked="0"/>
    </xf>
    <xf numFmtId="43" fontId="9" fillId="5" borderId="13" xfId="8" applyFont="1" applyFill="1" applyBorder="1" applyAlignment="1" applyProtection="1">
      <alignment horizontal="right" vertical="top" shrinkToFit="1"/>
      <protection locked="0"/>
    </xf>
    <xf numFmtId="43" fontId="9" fillId="5" borderId="13" xfId="8" applyFont="1" applyFill="1" applyBorder="1" applyAlignment="1" applyProtection="1">
      <alignment horizontal="center" vertical="top" shrinkToFit="1"/>
      <protection locked="0"/>
    </xf>
    <xf numFmtId="0" fontId="9" fillId="4" borderId="13" xfId="0" applyFont="1" applyFill="1" applyBorder="1" applyAlignment="1" applyProtection="1">
      <alignment horizontal="left" vertical="center" wrapText="1"/>
      <protection locked="0"/>
    </xf>
    <xf numFmtId="43" fontId="9" fillId="5" borderId="13" xfId="0" applyNumberFormat="1" applyFont="1" applyFill="1" applyBorder="1" applyAlignment="1" applyProtection="1">
      <alignment horizontal="center" vertical="top" shrinkToFit="1"/>
      <protection locked="0"/>
    </xf>
    <xf numFmtId="0" fontId="7" fillId="4" borderId="14" xfId="0" applyFont="1" applyFill="1" applyBorder="1" applyAlignment="1" applyProtection="1">
      <alignment horizontal="justify" vertical="center" wrapText="1"/>
      <protection locked="0"/>
    </xf>
    <xf numFmtId="0" fontId="9" fillId="4" borderId="15" xfId="0" applyFont="1" applyFill="1" applyBorder="1" applyAlignment="1" applyProtection="1">
      <alignment horizontal="left" vertical="center" wrapText="1"/>
      <protection locked="0"/>
    </xf>
    <xf numFmtId="43" fontId="9" fillId="5" borderId="15" xfId="0" applyNumberFormat="1" applyFont="1" applyFill="1" applyBorder="1" applyAlignment="1" applyProtection="1">
      <alignment horizontal="center" vertical="top" shrinkToFit="1"/>
      <protection locked="0"/>
    </xf>
    <xf numFmtId="178" fontId="9" fillId="2" borderId="0" xfId="0" applyNumberFormat="1" applyFont="1" applyFill="1" applyAlignment="1" applyProtection="1">
      <alignment horizontal="left" vertical="center" shrinkToFit="1"/>
      <protection locked="0"/>
    </xf>
    <xf numFmtId="43" fontId="10" fillId="0" borderId="0" xfId="0" applyNumberFormat="1" applyFont="1" applyAlignment="1" applyProtection="1">
      <protection locked="0"/>
    </xf>
    <xf numFmtId="178" fontId="9" fillId="3" borderId="16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Alignment="1" applyProtection="1">
      <alignment horizontal="right" vertical="center"/>
      <protection locked="0"/>
    </xf>
    <xf numFmtId="43" fontId="6" fillId="5" borderId="13" xfId="8" applyFont="1" applyFill="1" applyBorder="1" applyAlignment="1" applyProtection="1">
      <alignment vertical="center"/>
      <protection locked="0"/>
    </xf>
    <xf numFmtId="43" fontId="6" fillId="4" borderId="13" xfId="8" applyFont="1" applyFill="1" applyBorder="1" applyAlignment="1" applyProtection="1">
      <alignment vertical="center"/>
      <protection locked="0"/>
    </xf>
    <xf numFmtId="0" fontId="5" fillId="4" borderId="14" xfId="0" applyFont="1" applyFill="1" applyBorder="1" applyAlignment="1" applyProtection="1">
      <alignment horizontal="left" vertical="center"/>
      <protection locked="0"/>
    </xf>
    <xf numFmtId="43" fontId="6" fillId="4" borderId="15" xfId="8" applyFont="1" applyFill="1" applyBorder="1" applyAlignment="1" applyProtection="1">
      <alignment vertical="center"/>
      <protection locked="0"/>
    </xf>
    <xf numFmtId="0" fontId="5" fillId="4" borderId="19" xfId="0" applyFont="1" applyFill="1" applyBorder="1" applyProtection="1">
      <alignment vertical="center"/>
      <protection locked="0"/>
    </xf>
    <xf numFmtId="0" fontId="5" fillId="4" borderId="20" xfId="0" applyFont="1" applyFill="1" applyBorder="1" applyProtection="1">
      <alignment vertical="center"/>
      <protection locked="0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9" fillId="2" borderId="7" xfId="0" applyFont="1" applyFill="1" applyBorder="1" applyAlignment="1" applyProtection="1">
      <alignment horizontal="right" vertical="center" wrapText="1"/>
      <protection locked="0"/>
    </xf>
    <xf numFmtId="0" fontId="5" fillId="3" borderId="10" xfId="0" applyFont="1" applyFill="1" applyBorder="1" applyAlignment="1" applyProtection="1">
      <alignment horizontal="center" vertical="center"/>
      <protection locked="0"/>
    </xf>
    <xf numFmtId="0" fontId="5" fillId="3" borderId="11" xfId="0" applyFont="1" applyFill="1" applyBorder="1" applyAlignment="1" applyProtection="1">
      <alignment horizontal="center" vertical="center"/>
      <protection locked="0"/>
    </xf>
    <xf numFmtId="43" fontId="5" fillId="5" borderId="13" xfId="8" applyFont="1" applyFill="1" applyBorder="1" applyAlignment="1" applyProtection="1">
      <alignment vertical="center"/>
      <protection locked="0"/>
    </xf>
    <xf numFmtId="179" fontId="5" fillId="5" borderId="13" xfId="8" applyNumberFormat="1" applyFont="1" applyFill="1" applyBorder="1" applyAlignment="1" applyProtection="1">
      <alignment vertical="center"/>
      <protection locked="0"/>
    </xf>
    <xf numFmtId="43" fontId="5" fillId="5" borderId="15" xfId="8" applyFont="1" applyFill="1" applyBorder="1" applyAlignment="1" applyProtection="1">
      <alignment vertical="center"/>
      <protection locked="0"/>
    </xf>
    <xf numFmtId="0" fontId="8" fillId="2" borderId="7" xfId="0" applyFont="1" applyFill="1" applyBorder="1" applyAlignment="1" applyProtection="1">
      <alignment horizontal="left" vertical="center"/>
      <protection locked="0"/>
    </xf>
    <xf numFmtId="0" fontId="5" fillId="3" borderId="9" xfId="0" applyFont="1" applyFill="1" applyBorder="1" applyAlignment="1" applyProtection="1">
      <alignment horizontal="center" vertical="center" shrinkToFit="1"/>
      <protection locked="0"/>
    </xf>
    <xf numFmtId="10" fontId="5" fillId="5" borderId="13" xfId="0" applyNumberFormat="1" applyFont="1" applyFill="1" applyBorder="1" applyAlignment="1" applyProtection="1">
      <alignment vertical="center" shrinkToFit="1"/>
      <protection locked="0"/>
    </xf>
    <xf numFmtId="10" fontId="5" fillId="2" borderId="13" xfId="0" applyNumberFormat="1" applyFont="1" applyFill="1" applyBorder="1" applyAlignment="1" applyProtection="1">
      <alignment vertical="center" shrinkToFit="1"/>
      <protection locked="0"/>
    </xf>
    <xf numFmtId="178" fontId="5" fillId="5" borderId="13" xfId="0" applyNumberFormat="1" applyFont="1" applyFill="1" applyBorder="1" applyAlignment="1" applyProtection="1">
      <alignment vertical="center" shrinkToFit="1"/>
      <protection locked="0"/>
    </xf>
    <xf numFmtId="181" fontId="5" fillId="5" borderId="13" xfId="0" applyNumberFormat="1" applyFont="1" applyFill="1" applyBorder="1" applyAlignment="1" applyProtection="1">
      <alignment vertical="center" shrinkToFit="1"/>
      <protection locked="0"/>
    </xf>
    <xf numFmtId="178" fontId="5" fillId="2" borderId="0" xfId="0" applyNumberFormat="1" applyFont="1" applyFill="1" applyAlignment="1" applyProtection="1">
      <alignment vertical="center" shrinkToFit="1"/>
      <protection locked="0"/>
    </xf>
    <xf numFmtId="0" fontId="5" fillId="3" borderId="16" xfId="0" applyFont="1" applyFill="1" applyBorder="1" applyAlignment="1" applyProtection="1">
      <alignment horizontal="center" vertical="center" shrinkToFit="1"/>
      <protection locked="0"/>
    </xf>
    <xf numFmtId="0" fontId="8" fillId="7" borderId="30" xfId="0" applyFont="1" applyFill="1" applyBorder="1" applyAlignment="1" applyProtection="1">
      <alignment horizontal="center" vertical="center"/>
      <protection locked="0"/>
    </xf>
    <xf numFmtId="0" fontId="8" fillId="7" borderId="31" xfId="0" applyFont="1" applyFill="1" applyBorder="1" applyAlignment="1" applyProtection="1">
      <alignment horizontal="center" vertical="center"/>
      <protection locked="0"/>
    </xf>
    <xf numFmtId="0" fontId="8" fillId="7" borderId="32" xfId="0" applyFont="1" applyFill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 wrapText="1"/>
      <protection locked="0"/>
    </xf>
    <xf numFmtId="0" fontId="5" fillId="0" borderId="35" xfId="0" applyFont="1" applyBorder="1" applyAlignment="1" applyProtection="1">
      <alignment horizontal="center" vertical="center" wrapText="1"/>
      <protection locked="0"/>
    </xf>
    <xf numFmtId="0" fontId="5" fillId="8" borderId="34" xfId="0" applyFont="1" applyFill="1" applyBorder="1" applyAlignment="1" applyProtection="1">
      <alignment horizontal="center" vertical="center"/>
      <protection locked="0"/>
    </xf>
    <xf numFmtId="177" fontId="5" fillId="8" borderId="35" xfId="0" applyNumberFormat="1" applyFont="1" applyFill="1" applyBorder="1" applyAlignment="1" applyProtection="1">
      <alignment horizontal="center" vertical="center"/>
      <protection locked="0"/>
    </xf>
    <xf numFmtId="9" fontId="5" fillId="0" borderId="34" xfId="0" applyNumberFormat="1" applyFont="1" applyBorder="1" applyAlignment="1" applyProtection="1">
      <alignment horizontal="center" vertical="center"/>
      <protection locked="0"/>
    </xf>
    <xf numFmtId="177" fontId="5" fillId="0" borderId="34" xfId="0" applyNumberFormat="1" applyFont="1" applyBorder="1" applyAlignment="1" applyProtection="1">
      <alignment horizontal="center" vertical="center"/>
      <protection locked="0"/>
    </xf>
    <xf numFmtId="0" fontId="5" fillId="9" borderId="33" xfId="0" applyFont="1" applyFill="1" applyBorder="1" applyAlignment="1" applyProtection="1">
      <alignment horizontal="center" vertical="center"/>
      <protection locked="0"/>
    </xf>
    <xf numFmtId="0" fontId="5" fillId="9" borderId="34" xfId="0" applyFont="1" applyFill="1" applyBorder="1" applyAlignment="1" applyProtection="1">
      <alignment horizontal="center" vertical="center"/>
      <protection locked="0"/>
    </xf>
    <xf numFmtId="0" fontId="5" fillId="9" borderId="35" xfId="0" applyFont="1" applyFill="1" applyBorder="1" applyAlignment="1" applyProtection="1">
      <alignment horizontal="center" vertical="center"/>
      <protection locked="0"/>
    </xf>
    <xf numFmtId="0" fontId="5" fillId="0" borderId="36" xfId="0" applyFont="1" applyFill="1" applyBorder="1" applyAlignment="1" applyProtection="1">
      <alignment horizontal="center" vertical="center"/>
      <protection locked="0"/>
    </xf>
    <xf numFmtId="0" fontId="5" fillId="9" borderId="34" xfId="0" applyFont="1" applyFill="1" applyBorder="1" applyProtection="1">
      <alignment vertical="center"/>
      <protection locked="0"/>
    </xf>
    <xf numFmtId="0" fontId="5" fillId="9" borderId="35" xfId="0" applyFont="1" applyFill="1" applyBorder="1" applyProtection="1">
      <alignment vertical="center"/>
      <protection locked="0"/>
    </xf>
    <xf numFmtId="0" fontId="3" fillId="0" borderId="0" xfId="0" applyFont="1" applyAlignment="1" applyProtection="1">
      <protection locked="0"/>
    </xf>
    <xf numFmtId="0" fontId="8" fillId="10" borderId="37" xfId="0" applyFont="1" applyFill="1" applyBorder="1" applyAlignment="1" applyProtection="1">
      <alignment horizontal="center" vertical="center"/>
      <protection locked="0"/>
    </xf>
    <xf numFmtId="0" fontId="8" fillId="10" borderId="38" xfId="0" applyFont="1" applyFill="1" applyBorder="1" applyAlignment="1" applyProtection="1">
      <alignment horizontal="center" vertical="center"/>
      <protection locked="0"/>
    </xf>
    <xf numFmtId="0" fontId="5" fillId="10" borderId="33" xfId="0" applyFont="1" applyFill="1" applyBorder="1" applyProtection="1">
      <alignment vertical="center"/>
      <protection locked="0"/>
    </xf>
    <xf numFmtId="0" fontId="1" fillId="10" borderId="34" xfId="0" applyFont="1" applyFill="1" applyBorder="1" applyAlignment="1" applyProtection="1">
      <alignment horizontal="left" vertical="center" wrapText="1"/>
      <protection locked="0"/>
    </xf>
    <xf numFmtId="177" fontId="5" fillId="10" borderId="34" xfId="0" applyNumberFormat="1" applyFont="1" applyFill="1" applyBorder="1" applyProtection="1">
      <alignment vertical="center"/>
      <protection locked="0"/>
    </xf>
    <xf numFmtId="0" fontId="5" fillId="10" borderId="34" xfId="0" applyFont="1" applyFill="1" applyBorder="1" applyAlignment="1" applyProtection="1">
      <alignment horizontal="center" vertical="center"/>
      <protection locked="0"/>
    </xf>
    <xf numFmtId="0" fontId="5" fillId="10" borderId="34" xfId="0" applyFont="1" applyFill="1" applyBorder="1" applyProtection="1">
      <alignment vertical="center"/>
      <protection locked="0"/>
    </xf>
    <xf numFmtId="9" fontId="5" fillId="10" borderId="34" xfId="0" applyNumberFormat="1" applyFont="1" applyFill="1" applyBorder="1" applyProtection="1">
      <alignment vertical="center"/>
      <protection locked="0"/>
    </xf>
    <xf numFmtId="10" fontId="5" fillId="10" borderId="34" xfId="0" applyNumberFormat="1" applyFont="1" applyFill="1" applyBorder="1" applyProtection="1">
      <alignment vertical="center"/>
      <protection locked="0"/>
    </xf>
    <xf numFmtId="0" fontId="5" fillId="10" borderId="39" xfId="0" applyFont="1" applyFill="1" applyBorder="1" applyProtection="1">
      <alignment vertical="center"/>
      <protection locked="0"/>
    </xf>
    <xf numFmtId="0" fontId="20" fillId="10" borderId="40" xfId="0" applyFont="1" applyFill="1" applyBorder="1" applyProtection="1">
      <alignment vertical="center"/>
      <protection locked="0"/>
    </xf>
    <xf numFmtId="10" fontId="5" fillId="9" borderId="34" xfId="0" applyNumberFormat="1" applyFont="1" applyFill="1" applyBorder="1" applyAlignment="1" applyProtection="1">
      <alignment horizontal="center" vertical="center"/>
      <protection locked="0"/>
    </xf>
    <xf numFmtId="10" fontId="5" fillId="0" borderId="34" xfId="0" applyNumberFormat="1" applyFont="1" applyBorder="1" applyAlignment="1" applyProtection="1">
      <alignment horizontal="center" vertical="center"/>
      <protection locked="0"/>
    </xf>
    <xf numFmtId="177" fontId="5" fillId="9" borderId="34" xfId="0" applyNumberFormat="1" applyFont="1" applyFill="1" applyBorder="1" applyAlignment="1" applyProtection="1">
      <alignment horizontal="center" vertical="center"/>
      <protection locked="0"/>
    </xf>
    <xf numFmtId="9" fontId="5" fillId="9" borderId="34" xfId="0" applyNumberFormat="1" applyFont="1" applyFill="1" applyBorder="1" applyAlignment="1" applyProtection="1">
      <alignment horizontal="center" vertical="center"/>
      <protection locked="0"/>
    </xf>
    <xf numFmtId="177" fontId="5" fillId="0" borderId="34" xfId="0" applyNumberFormat="1" applyFont="1" applyBorder="1" applyProtection="1">
      <alignment vertical="center"/>
      <protection locked="0"/>
    </xf>
    <xf numFmtId="0" fontId="5" fillId="0" borderId="34" xfId="0" applyFont="1" applyBorder="1" applyProtection="1">
      <alignment vertical="center"/>
      <protection locked="0"/>
    </xf>
    <xf numFmtId="0" fontId="8" fillId="10" borderId="41" xfId="0" applyFont="1" applyFill="1" applyBorder="1" applyAlignment="1" applyProtection="1">
      <alignment horizontal="center" vertical="center"/>
      <protection locked="0"/>
    </xf>
    <xf numFmtId="0" fontId="5" fillId="10" borderId="42" xfId="0" applyFont="1" applyFill="1" applyBorder="1" applyProtection="1">
      <alignment vertical="center"/>
      <protection locked="0"/>
    </xf>
    <xf numFmtId="10" fontId="5" fillId="10" borderId="0" xfId="0" applyNumberFormat="1" applyFont="1" applyFill="1" applyProtection="1">
      <alignment vertical="center"/>
      <protection locked="0"/>
    </xf>
    <xf numFmtId="0" fontId="5" fillId="10" borderId="34" xfId="0" applyFont="1" applyFill="1" applyBorder="1" applyAlignment="1" applyProtection="1">
      <alignment horizontal="left" vertical="center"/>
      <protection locked="0"/>
    </xf>
    <xf numFmtId="181" fontId="5" fillId="10" borderId="34" xfId="0" applyNumberFormat="1" applyFont="1" applyFill="1" applyBorder="1" applyProtection="1">
      <alignment vertical="center"/>
      <protection locked="0"/>
    </xf>
    <xf numFmtId="0" fontId="5" fillId="10" borderId="40" xfId="0" applyFont="1" applyFill="1" applyBorder="1" applyProtection="1">
      <alignment vertical="center"/>
      <protection locked="0"/>
    </xf>
    <xf numFmtId="0" fontId="5" fillId="10" borderId="43" xfId="0" applyFont="1" applyFill="1" applyBorder="1" applyProtection="1">
      <alignment vertical="center"/>
      <protection locked="0"/>
    </xf>
    <xf numFmtId="0" fontId="21" fillId="2" borderId="7" xfId="0" applyFont="1" applyFill="1" applyBorder="1" applyAlignment="1" applyProtection="1">
      <alignment horizontal="left" vertical="center"/>
      <protection locked="0"/>
    </xf>
    <xf numFmtId="0" fontId="22" fillId="3" borderId="30" xfId="0" applyFont="1" applyFill="1" applyBorder="1" applyAlignment="1" applyProtection="1">
      <alignment horizontal="center" vertical="center"/>
      <protection locked="0"/>
    </xf>
    <xf numFmtId="0" fontId="22" fillId="3" borderId="31" xfId="0" applyFont="1" applyFill="1" applyBorder="1" applyAlignment="1" applyProtection="1">
      <alignment horizontal="center" vertical="center"/>
      <protection locked="0"/>
    </xf>
    <xf numFmtId="0" fontId="22" fillId="3" borderId="32" xfId="0" applyFont="1" applyFill="1" applyBorder="1" applyAlignment="1" applyProtection="1">
      <alignment horizontal="center" vertical="center"/>
      <protection locked="0"/>
    </xf>
    <xf numFmtId="0" fontId="22" fillId="3" borderId="44" xfId="0" applyFont="1" applyFill="1" applyBorder="1" applyAlignment="1" applyProtection="1">
      <alignment horizontal="center" vertical="center"/>
      <protection locked="0"/>
    </xf>
    <xf numFmtId="0" fontId="22" fillId="3" borderId="45" xfId="0" applyFont="1" applyFill="1" applyBorder="1" applyAlignment="1" applyProtection="1">
      <alignment horizontal="center" vertical="center"/>
      <protection locked="0"/>
    </xf>
    <xf numFmtId="0" fontId="5" fillId="0" borderId="46" xfId="0" applyFont="1" applyBorder="1" applyProtection="1">
      <alignment vertical="center"/>
      <protection locked="0"/>
    </xf>
    <xf numFmtId="178" fontId="5" fillId="0" borderId="47" xfId="0" applyNumberFormat="1" applyFont="1" applyBorder="1" applyAlignment="1" applyProtection="1">
      <alignment horizontal="center" vertical="center"/>
      <protection locked="0"/>
    </xf>
    <xf numFmtId="0" fontId="5" fillId="0" borderId="48" xfId="0" applyFont="1" applyBorder="1" applyProtection="1">
      <alignment vertical="center"/>
      <protection locked="0"/>
    </xf>
    <xf numFmtId="0" fontId="5" fillId="0" borderId="12" xfId="0" applyFont="1" applyBorder="1" applyProtection="1">
      <alignment vertical="center"/>
      <protection locked="0"/>
    </xf>
    <xf numFmtId="177" fontId="5" fillId="0" borderId="13" xfId="0" applyNumberFormat="1" applyFont="1" applyBorder="1" applyProtection="1">
      <alignment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177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19" xfId="0" applyFont="1" applyBorder="1" applyProtection="1">
      <alignment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Protection="1">
      <alignment vertical="center"/>
      <protection locked="0"/>
    </xf>
    <xf numFmtId="177" fontId="1" fillId="0" borderId="50" xfId="0" applyNumberFormat="1" applyFont="1" applyBorder="1" applyAlignment="1" applyProtection="1">
      <alignment horizontal="center" vertical="center"/>
      <protection locked="0"/>
    </xf>
    <xf numFmtId="0" fontId="5" fillId="0" borderId="51" xfId="0" applyFont="1" applyBorder="1" applyProtection="1">
      <alignment vertical="center"/>
      <protection locked="0"/>
    </xf>
    <xf numFmtId="0" fontId="5" fillId="0" borderId="50" xfId="0" applyFont="1" applyBorder="1" applyAlignment="1" applyProtection="1">
      <alignment horizontal="center" vertical="center"/>
      <protection locked="0"/>
    </xf>
    <xf numFmtId="0" fontId="22" fillId="0" borderId="33" xfId="0" applyFont="1" applyBorder="1" applyAlignment="1" applyProtection="1">
      <alignment horizontal="center" vertical="center"/>
      <protection locked="0"/>
    </xf>
    <xf numFmtId="0" fontId="22" fillId="0" borderId="34" xfId="0" applyFont="1" applyBorder="1" applyAlignment="1" applyProtection="1">
      <alignment horizontal="center" vertical="center"/>
      <protection locked="0"/>
    </xf>
    <xf numFmtId="0" fontId="22" fillId="0" borderId="42" xfId="0" applyFont="1" applyBorder="1" applyAlignment="1" applyProtection="1">
      <alignment horizontal="center" vertical="center"/>
      <protection locked="0"/>
    </xf>
    <xf numFmtId="0" fontId="22" fillId="0" borderId="44" xfId="0" applyFont="1" applyBorder="1" applyAlignment="1" applyProtection="1">
      <alignment horizontal="center" vertical="center"/>
      <protection locked="0"/>
    </xf>
    <xf numFmtId="0" fontId="22" fillId="0" borderId="45" xfId="0" applyFont="1" applyBorder="1" applyAlignment="1" applyProtection="1">
      <alignment horizontal="center" vertical="center"/>
      <protection locked="0"/>
    </xf>
    <xf numFmtId="182" fontId="5" fillId="0" borderId="47" xfId="0" applyNumberFormat="1" applyFont="1" applyBorder="1" applyAlignment="1" applyProtection="1">
      <alignment horizontal="center" vertical="center"/>
      <protection locked="0"/>
    </xf>
    <xf numFmtId="0" fontId="1" fillId="0" borderId="12" xfId="0" applyFont="1" applyBorder="1" applyProtection="1">
      <alignment vertical="center"/>
      <protection locked="0"/>
    </xf>
    <xf numFmtId="10" fontId="5" fillId="0" borderId="13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Border="1" applyProtection="1">
      <alignment vertical="center"/>
      <protection locked="0"/>
    </xf>
    <xf numFmtId="177" fontId="5" fillId="0" borderId="11" xfId="0" applyNumberFormat="1" applyFont="1" applyBorder="1" applyAlignment="1" applyProtection="1">
      <alignment horizontal="center" vertical="center"/>
      <protection locked="0"/>
    </xf>
    <xf numFmtId="0" fontId="5" fillId="0" borderId="52" xfId="0" applyFont="1" applyBorder="1" applyProtection="1">
      <alignment vertical="center"/>
      <protection locked="0"/>
    </xf>
    <xf numFmtId="41" fontId="5" fillId="0" borderId="13" xfId="0" applyNumberFormat="1" applyFont="1" applyBorder="1" applyAlignment="1" applyProtection="1">
      <alignment horizontal="center" vertical="center"/>
      <protection locked="0"/>
    </xf>
    <xf numFmtId="9" fontId="5" fillId="0" borderId="11" xfId="0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Protection="1">
      <alignment vertical="center"/>
      <protection locked="0"/>
    </xf>
    <xf numFmtId="180" fontId="5" fillId="0" borderId="13" xfId="0" applyNumberFormat="1" applyFont="1" applyBorder="1" applyAlignment="1" applyProtection="1">
      <alignment horizontal="center" vertical="center"/>
      <protection locked="0"/>
    </xf>
    <xf numFmtId="181" fontId="5" fillId="0" borderId="47" xfId="0" applyNumberFormat="1" applyFont="1" applyBorder="1" applyProtection="1">
      <alignment vertical="center"/>
      <protection locked="0"/>
    </xf>
    <xf numFmtId="181" fontId="5" fillId="0" borderId="13" xfId="0" applyNumberFormat="1" applyFont="1" applyBorder="1" applyProtection="1">
      <alignment vertical="center"/>
      <protection locked="0"/>
    </xf>
    <xf numFmtId="43" fontId="5" fillId="0" borderId="13" xfId="0" applyNumberFormat="1" applyFont="1" applyBorder="1" applyAlignment="1" applyProtection="1">
      <alignment horizontal="center" vertical="center"/>
      <protection locked="0"/>
    </xf>
    <xf numFmtId="177" fontId="5" fillId="0" borderId="47" xfId="0" applyNumberFormat="1" applyFont="1" applyBorder="1" applyProtection="1">
      <alignment vertical="center"/>
      <protection locked="0"/>
    </xf>
    <xf numFmtId="43" fontId="5" fillId="0" borderId="13" xfId="0" applyNumberFormat="1" applyFont="1" applyBorder="1" applyProtection="1">
      <alignment vertical="center"/>
      <protection locked="0"/>
    </xf>
    <xf numFmtId="10" fontId="1" fillId="0" borderId="13" xfId="0" applyNumberFormat="1" applyFont="1" applyBorder="1" applyAlignment="1" applyProtection="1">
      <alignment horizontal="center" vertical="center"/>
      <protection locked="0"/>
    </xf>
    <xf numFmtId="177" fontId="1" fillId="0" borderId="13" xfId="0" applyNumberFormat="1" applyFont="1" applyBorder="1" applyAlignment="1" applyProtection="1">
      <alignment horizontal="center" vertical="center"/>
      <protection locked="0"/>
    </xf>
    <xf numFmtId="43" fontId="5" fillId="0" borderId="50" xfId="0" applyNumberFormat="1" applyFont="1" applyBorder="1" applyProtection="1">
      <alignment vertical="center"/>
      <protection locked="0"/>
    </xf>
    <xf numFmtId="10" fontId="5" fillId="0" borderId="47" xfId="0" applyNumberFormat="1" applyFont="1" applyBorder="1" applyAlignment="1" applyProtection="1">
      <alignment horizontal="center" vertical="center"/>
      <protection locked="0"/>
    </xf>
    <xf numFmtId="0" fontId="5" fillId="0" borderId="46" xfId="0" applyFont="1" applyBorder="1" applyAlignment="1" applyProtection="1">
      <alignment horizontal="left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left" vertical="center"/>
      <protection locked="0"/>
    </xf>
    <xf numFmtId="178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53" xfId="0" applyFont="1" applyBorder="1" applyAlignment="1" applyProtection="1">
      <alignment horizontal="left" vertical="center" wrapText="1"/>
      <protection locked="0"/>
    </xf>
    <xf numFmtId="0" fontId="5" fillId="0" borderId="54" xfId="0" applyFont="1" applyBorder="1" applyAlignment="1" applyProtection="1">
      <alignment horizontal="left" vertical="center" wrapText="1"/>
      <protection locked="0"/>
    </xf>
    <xf numFmtId="43" fontId="5" fillId="0" borderId="13" xfId="8" applyFont="1" applyFill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10" fontId="5" fillId="0" borderId="15" xfId="0" applyNumberFormat="1" applyFont="1" applyBorder="1" applyAlignment="1" applyProtection="1">
      <alignment horizontal="center" vertical="center"/>
      <protection locked="0"/>
    </xf>
    <xf numFmtId="0" fontId="5" fillId="0" borderId="20" xfId="0" applyFont="1" applyBorder="1" applyProtection="1">
      <alignment vertical="center"/>
      <protection locked="0"/>
    </xf>
    <xf numFmtId="0" fontId="5" fillId="0" borderId="14" xfId="0" applyFont="1" applyBorder="1" applyProtection="1">
      <alignment vertical="center"/>
      <protection locked="0"/>
    </xf>
    <xf numFmtId="43" fontId="5" fillId="0" borderId="15" xfId="0" applyNumberFormat="1" applyFont="1" applyBorder="1" applyAlignment="1" applyProtection="1">
      <alignment horizontal="center" vertical="center"/>
      <protection locked="0"/>
    </xf>
    <xf numFmtId="43" fontId="5" fillId="0" borderId="15" xfId="8" applyFont="1" applyFill="1" applyBorder="1" applyAlignment="1" applyProtection="1">
      <alignment vertical="center"/>
      <protection locked="0"/>
    </xf>
    <xf numFmtId="43" fontId="5" fillId="0" borderId="15" xfId="0" applyNumberFormat="1" applyFont="1" applyBorder="1" applyProtection="1">
      <alignment vertical="center"/>
      <protection locked="0"/>
    </xf>
    <xf numFmtId="0" fontId="22" fillId="3" borderId="55" xfId="0" applyFont="1" applyFill="1" applyBorder="1" applyAlignment="1" applyProtection="1">
      <alignment horizontal="center" vertical="center"/>
      <protection locked="0"/>
    </xf>
    <xf numFmtId="178" fontId="5" fillId="0" borderId="34" xfId="0" applyNumberFormat="1" applyFont="1" applyBorder="1" applyAlignment="1" applyProtection="1">
      <alignment horizontal="center" vertical="center"/>
      <protection locked="0"/>
    </xf>
    <xf numFmtId="0" fontId="22" fillId="0" borderId="55" xfId="0" applyFont="1" applyBorder="1" applyAlignment="1" applyProtection="1">
      <alignment horizontal="center" vertical="center"/>
      <protection locked="0"/>
    </xf>
    <xf numFmtId="0" fontId="23" fillId="0" borderId="19" xfId="0" applyFont="1" applyBorder="1" applyProtection="1">
      <alignment vertical="center"/>
      <protection locked="0"/>
    </xf>
    <xf numFmtId="43" fontId="5" fillId="0" borderId="34" xfId="0" applyNumberFormat="1" applyFont="1" applyBorder="1" applyProtection="1">
      <alignment vertical="center"/>
      <protection locked="0"/>
    </xf>
    <xf numFmtId="43" fontId="5" fillId="0" borderId="34" xfId="0" applyNumberFormat="1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43" fontId="5" fillId="0" borderId="48" xfId="8" applyFont="1" applyFill="1" applyBorder="1" applyAlignment="1" applyProtection="1">
      <alignment vertical="center"/>
      <protection locked="0"/>
    </xf>
    <xf numFmtId="43" fontId="5" fillId="0" borderId="19" xfId="8" applyFont="1" applyFill="1" applyBorder="1" applyAlignment="1" applyProtection="1">
      <alignment vertical="center"/>
      <protection locked="0"/>
    </xf>
    <xf numFmtId="43" fontId="5" fillId="0" borderId="20" xfId="8" applyFont="1" applyFill="1" applyBorder="1" applyAlignment="1" applyProtection="1">
      <alignment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</cellStyles>
  <tableStyles count="0" defaultTableStyle="TableStyleMedium2" defaultPivotStyle="PivotStyleLight16"/>
  <colors>
    <mruColors>
      <color rgb="00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opLeftCell="A13" workbookViewId="0">
      <selection activeCell="O42" sqref="O42"/>
    </sheetView>
  </sheetViews>
  <sheetFormatPr defaultColWidth="10" defaultRowHeight="14.25"/>
  <cols>
    <col min="1" max="1" width="26.125" style="1" customWidth="1"/>
    <col min="2" max="2" width="8.5" style="1" customWidth="1"/>
    <col min="3" max="3" width="5.625" style="1" customWidth="1"/>
    <col min="4" max="4" width="18.625" style="1" customWidth="1"/>
    <col min="5" max="5" width="7.625" style="1" customWidth="1"/>
    <col min="6" max="6" width="7.25" style="1" customWidth="1"/>
    <col min="7" max="7" width="50.875" style="1" customWidth="1"/>
    <col min="8" max="8" width="7.625" style="1" customWidth="1"/>
    <col min="9" max="9" width="7.375" style="1" customWidth="1"/>
    <col min="10" max="10" width="4.75" style="1" customWidth="1"/>
    <col min="11" max="11" width="27.625" style="1" customWidth="1"/>
    <col min="12" max="12" width="6.625" style="1" customWidth="1"/>
    <col min="13" max="13" width="10.25" style="1" customWidth="1"/>
    <col min="14" max="16384" width="10" style="1"/>
  </cols>
  <sheetData>
    <row r="1" ht="42" customHeight="1" spans="1:9">
      <c r="A1" s="235" t="s">
        <v>0</v>
      </c>
      <c r="B1" s="235"/>
      <c r="C1" s="235"/>
      <c r="D1" s="235"/>
      <c r="E1" s="235"/>
      <c r="F1" s="235"/>
      <c r="G1" s="235"/>
      <c r="H1" s="235"/>
      <c r="I1" s="235"/>
    </row>
    <row r="2" spans="1:13">
      <c r="A2" s="236" t="s">
        <v>1</v>
      </c>
      <c r="B2" s="237"/>
      <c r="C2" s="237"/>
      <c r="D2" s="237"/>
      <c r="E2" s="237"/>
      <c r="F2" s="238"/>
      <c r="G2" s="239" t="s">
        <v>2</v>
      </c>
      <c r="H2" s="240"/>
      <c r="I2" s="292"/>
      <c r="J2" s="197" t="s">
        <v>3</v>
      </c>
      <c r="K2" s="197" t="s">
        <v>4</v>
      </c>
      <c r="L2" s="197" t="s">
        <v>5</v>
      </c>
      <c r="M2" s="197" t="s">
        <v>6</v>
      </c>
    </row>
    <row r="3" spans="1:13">
      <c r="A3" s="241" t="s">
        <v>7</v>
      </c>
      <c r="B3" s="242">
        <f>基础输入数据!G2</f>
        <v>1000</v>
      </c>
      <c r="C3" s="243" t="s">
        <v>8</v>
      </c>
      <c r="D3" s="244" t="s">
        <v>9</v>
      </c>
      <c r="E3" s="245">
        <f>B4</f>
        <v>210</v>
      </c>
      <c r="F3" s="243"/>
      <c r="G3" s="241" t="s">
        <v>10</v>
      </c>
      <c r="H3" s="246">
        <f>H5+H4</f>
        <v>21.125</v>
      </c>
      <c r="I3" s="243" t="s">
        <v>11</v>
      </c>
      <c r="J3" s="197">
        <v>1</v>
      </c>
      <c r="K3" s="197" t="s">
        <v>12</v>
      </c>
      <c r="L3" s="197" t="s">
        <v>13</v>
      </c>
      <c r="M3" s="293">
        <f>B3</f>
        <v>1000</v>
      </c>
    </row>
    <row r="4" spans="1:13">
      <c r="A4" s="244" t="s">
        <v>14</v>
      </c>
      <c r="B4" s="247">
        <f>基础输入数据!D3</f>
        <v>210</v>
      </c>
      <c r="C4" s="248" t="s">
        <v>15</v>
      </c>
      <c r="D4" s="244" t="s">
        <v>16</v>
      </c>
      <c r="E4" s="245">
        <f>B4</f>
        <v>210</v>
      </c>
      <c r="F4" s="248"/>
      <c r="G4" s="244" t="s">
        <v>17</v>
      </c>
      <c r="H4" s="249">
        <v>0.125</v>
      </c>
      <c r="I4" s="248" t="s">
        <v>11</v>
      </c>
      <c r="J4" s="197">
        <v>2</v>
      </c>
      <c r="K4" s="197" t="s">
        <v>18</v>
      </c>
      <c r="L4" s="197" t="s">
        <v>19</v>
      </c>
      <c r="M4" s="197">
        <f>M3/2</f>
        <v>500</v>
      </c>
    </row>
    <row r="5" ht="15" spans="1:13">
      <c r="A5" s="250" t="s">
        <v>20</v>
      </c>
      <c r="B5" s="251">
        <f>基础输入数据!C4</f>
        <v>2.1</v>
      </c>
      <c r="C5" s="252" t="s">
        <v>21</v>
      </c>
      <c r="D5" s="244" t="s">
        <v>22</v>
      </c>
      <c r="E5" s="245">
        <f>E3-E4</f>
        <v>0</v>
      </c>
      <c r="F5" s="252"/>
      <c r="G5" s="250" t="s">
        <v>23</v>
      </c>
      <c r="H5" s="253">
        <f>基础输入数据!G7</f>
        <v>21</v>
      </c>
      <c r="I5" s="252" t="s">
        <v>11</v>
      </c>
      <c r="J5" s="197">
        <v>3</v>
      </c>
      <c r="K5" s="197" t="s">
        <v>24</v>
      </c>
      <c r="L5" s="197" t="s">
        <v>15</v>
      </c>
      <c r="M5" s="203">
        <f>B4</f>
        <v>210</v>
      </c>
    </row>
    <row r="6" spans="1:13">
      <c r="A6" s="254" t="s">
        <v>25</v>
      </c>
      <c r="B6" s="255"/>
      <c r="C6" s="256"/>
      <c r="D6" s="254" t="s">
        <v>26</v>
      </c>
      <c r="E6" s="255"/>
      <c r="F6" s="256"/>
      <c r="G6" s="257" t="s">
        <v>27</v>
      </c>
      <c r="H6" s="258"/>
      <c r="I6" s="294"/>
      <c r="J6" s="197">
        <v>4</v>
      </c>
      <c r="K6" s="197" t="s">
        <v>28</v>
      </c>
      <c r="L6" s="197" t="s">
        <v>15</v>
      </c>
      <c r="M6" s="203">
        <f>基础输入数据!K15</f>
        <v>0.9904125</v>
      </c>
    </row>
    <row r="7" spans="1:13">
      <c r="A7" s="241" t="s">
        <v>29</v>
      </c>
      <c r="B7" s="259">
        <f>基础输入数据!G8</f>
        <v>0.3506</v>
      </c>
      <c r="C7" s="243" t="s">
        <v>30</v>
      </c>
      <c r="D7" s="241" t="s">
        <v>31</v>
      </c>
      <c r="E7" s="246">
        <f>基础输入数据!K2</f>
        <v>15</v>
      </c>
      <c r="F7" s="243" t="s">
        <v>11</v>
      </c>
      <c r="G7" s="260"/>
      <c r="H7" s="249"/>
      <c r="I7" s="243"/>
      <c r="J7" s="197">
        <v>5</v>
      </c>
      <c r="K7" s="197" t="s">
        <v>32</v>
      </c>
      <c r="L7" s="197" t="s">
        <v>33</v>
      </c>
      <c r="M7" s="197">
        <f>基础输入数据!G8</f>
        <v>0.3506</v>
      </c>
    </row>
    <row r="8" spans="1:13">
      <c r="A8" s="244" t="s">
        <v>34</v>
      </c>
      <c r="B8" s="259">
        <f>基础输入数据!G9</f>
        <v>0.8562</v>
      </c>
      <c r="C8" s="248" t="s">
        <v>30</v>
      </c>
      <c r="D8" s="244" t="s">
        <v>35</v>
      </c>
      <c r="E8" s="261">
        <f>基础输入数据!K3</f>
        <v>0.03</v>
      </c>
      <c r="F8" s="248"/>
      <c r="G8" s="262"/>
      <c r="H8" s="249"/>
      <c r="I8" s="295"/>
      <c r="J8" s="197">
        <v>6</v>
      </c>
      <c r="K8" s="197" t="s">
        <v>36</v>
      </c>
      <c r="L8" s="197" t="s">
        <v>33</v>
      </c>
      <c r="M8" s="197">
        <f>基础输入数据!G9</f>
        <v>0.8562</v>
      </c>
    </row>
    <row r="9" spans="1:13">
      <c r="A9" s="244" t="s">
        <v>37</v>
      </c>
      <c r="B9" s="259">
        <f>基础输入数据!G10</f>
        <v>1.0397</v>
      </c>
      <c r="C9" s="248" t="s">
        <v>30</v>
      </c>
      <c r="D9" s="244"/>
      <c r="E9" s="249"/>
      <c r="F9" s="248"/>
      <c r="G9" s="260"/>
      <c r="H9" s="249"/>
      <c r="I9" s="295"/>
      <c r="J9" s="197">
        <v>7</v>
      </c>
      <c r="K9" s="197" t="s">
        <v>37</v>
      </c>
      <c r="L9" s="197" t="s">
        <v>33</v>
      </c>
      <c r="M9" s="197">
        <f>基础输入数据!G10</f>
        <v>1.0397</v>
      </c>
    </row>
    <row r="10" spans="1:13">
      <c r="A10" s="244" t="s">
        <v>38</v>
      </c>
      <c r="B10" s="247">
        <f>基础输入数据!G14</f>
        <v>3.5</v>
      </c>
      <c r="C10" s="248" t="s">
        <v>30</v>
      </c>
      <c r="D10" s="244"/>
      <c r="E10" s="261"/>
      <c r="F10" s="248"/>
      <c r="G10" s="260"/>
      <c r="H10" s="249"/>
      <c r="I10" s="295"/>
      <c r="J10" s="197">
        <v>8</v>
      </c>
      <c r="K10" s="197" t="s">
        <v>39</v>
      </c>
      <c r="L10" s="197" t="s">
        <v>15</v>
      </c>
      <c r="M10" s="296">
        <f>'表2 营业收入、营业税金及附加估算表'!C5</f>
        <v>998.734836970604</v>
      </c>
    </row>
    <row r="11" spans="1:13">
      <c r="A11" s="244" t="s">
        <v>40</v>
      </c>
      <c r="B11" s="263">
        <f>基础输入数据!G16</f>
        <v>1.2</v>
      </c>
      <c r="C11" s="248" t="s">
        <v>30</v>
      </c>
      <c r="D11" s="244"/>
      <c r="E11" s="261"/>
      <c r="F11" s="264"/>
      <c r="G11" s="260"/>
      <c r="H11" s="265"/>
      <c r="I11" s="295"/>
      <c r="J11" s="197">
        <v>9</v>
      </c>
      <c r="K11" s="197" t="s">
        <v>41</v>
      </c>
      <c r="L11" s="197" t="s">
        <v>15</v>
      </c>
      <c r="M11" s="296">
        <f>'表4 总成本费用估算表'!C16</f>
        <v>671.812275925991</v>
      </c>
    </row>
    <row r="12" spans="1:13">
      <c r="A12" s="244" t="s">
        <v>42</v>
      </c>
      <c r="B12" s="266">
        <f>基础输入数据!G6</f>
        <v>0.9</v>
      </c>
      <c r="D12" s="244"/>
      <c r="E12" s="247"/>
      <c r="F12" s="264"/>
      <c r="G12" s="260"/>
      <c r="H12" s="265"/>
      <c r="I12" s="295"/>
      <c r="J12" s="197">
        <v>10</v>
      </c>
      <c r="K12" s="197" t="s">
        <v>43</v>
      </c>
      <c r="L12" s="197" t="s">
        <v>15</v>
      </c>
      <c r="M12" s="296">
        <f>'表5 利润与利润分配表'!C6</f>
        <v>9.34473183698761</v>
      </c>
    </row>
    <row r="13" spans="1:13">
      <c r="A13" s="244" t="s">
        <v>44</v>
      </c>
      <c r="B13" s="266">
        <f>基础输入数据!G18</f>
        <v>0.9</v>
      </c>
      <c r="C13" s="248"/>
      <c r="D13" s="267"/>
      <c r="E13" s="268"/>
      <c r="F13" s="252"/>
      <c r="G13" s="260"/>
      <c r="H13" s="265"/>
      <c r="I13" s="295"/>
      <c r="J13" s="197">
        <v>11</v>
      </c>
      <c r="K13" s="197" t="s">
        <v>45</v>
      </c>
      <c r="L13" s="197" t="s">
        <v>15</v>
      </c>
      <c r="M13" s="297">
        <f>'表5 利润与利润分配表'!C8</f>
        <v>199.971218802351</v>
      </c>
    </row>
    <row r="14" spans="1:13">
      <c r="A14" s="254" t="s">
        <v>46</v>
      </c>
      <c r="B14" s="255"/>
      <c r="C14" s="256"/>
      <c r="D14" s="244"/>
      <c r="E14" s="249"/>
      <c r="F14" s="248"/>
      <c r="G14" s="260"/>
      <c r="H14" s="249"/>
      <c r="I14" s="248"/>
      <c r="J14" s="197">
        <v>12</v>
      </c>
      <c r="K14" s="197" t="s">
        <v>47</v>
      </c>
      <c r="L14" s="197" t="s">
        <v>11</v>
      </c>
      <c r="M14" s="203">
        <f>B26</f>
        <v>8.47162583133027</v>
      </c>
    </row>
    <row r="15" spans="1:13">
      <c r="A15" s="241"/>
      <c r="B15" s="269"/>
      <c r="C15" s="243"/>
      <c r="D15" s="244"/>
      <c r="E15" s="261"/>
      <c r="F15" s="248"/>
      <c r="G15" s="260"/>
      <c r="H15" s="249"/>
      <c r="I15" s="248"/>
      <c r="J15" s="197">
        <v>13</v>
      </c>
      <c r="K15" s="197" t="s">
        <v>48</v>
      </c>
      <c r="L15" s="197" t="s">
        <v>11</v>
      </c>
      <c r="M15" s="203">
        <f>B27</f>
        <v>9.53426897419694</v>
      </c>
    </row>
    <row r="16" spans="1:13">
      <c r="A16" s="244"/>
      <c r="B16" s="270"/>
      <c r="C16" s="248"/>
      <c r="D16" s="244"/>
      <c r="E16" s="247"/>
      <c r="F16" s="248"/>
      <c r="G16" s="260"/>
      <c r="H16" s="249"/>
      <c r="I16" s="248"/>
      <c r="J16" s="197">
        <v>14</v>
      </c>
      <c r="K16" s="197" t="s">
        <v>49</v>
      </c>
      <c r="L16" s="197" t="s">
        <v>50</v>
      </c>
      <c r="M16" s="223">
        <f>B30</f>
        <v>0.0992419374662301</v>
      </c>
    </row>
    <row r="17" spans="1:13">
      <c r="A17" s="244"/>
      <c r="B17" s="261"/>
      <c r="C17" s="248"/>
      <c r="D17" s="244"/>
      <c r="E17" s="249"/>
      <c r="F17" s="248"/>
      <c r="G17" s="260"/>
      <c r="H17" s="249"/>
      <c r="I17" s="248"/>
      <c r="J17" s="197">
        <v>15</v>
      </c>
      <c r="K17" s="197" t="s">
        <v>51</v>
      </c>
      <c r="L17" s="197" t="s">
        <v>50</v>
      </c>
      <c r="M17" s="223">
        <f>B31</f>
        <v>0.0803239385684029</v>
      </c>
    </row>
    <row r="18" spans="1:13">
      <c r="A18" s="254" t="s">
        <v>52</v>
      </c>
      <c r="B18" s="255"/>
      <c r="C18" s="256"/>
      <c r="D18" s="244"/>
      <c r="E18" s="249"/>
      <c r="F18" s="248"/>
      <c r="G18" s="244"/>
      <c r="H18" s="271"/>
      <c r="I18" s="248"/>
      <c r="J18" s="197">
        <v>16</v>
      </c>
      <c r="K18" s="197" t="s">
        <v>53</v>
      </c>
      <c r="L18" s="197" t="s">
        <v>15</v>
      </c>
      <c r="M18" s="293">
        <f>B28</f>
        <v>27.2271423477326</v>
      </c>
    </row>
    <row r="19" spans="1:13">
      <c r="A19" s="241" t="s">
        <v>54</v>
      </c>
      <c r="B19" s="272">
        <f>B4*H25</f>
        <v>63</v>
      </c>
      <c r="C19" s="243" t="s">
        <v>15</v>
      </c>
      <c r="D19" s="244"/>
      <c r="E19" s="249"/>
      <c r="F19" s="248"/>
      <c r="G19" s="244"/>
      <c r="H19" s="265"/>
      <c r="I19" s="248"/>
      <c r="J19" s="197">
        <v>17</v>
      </c>
      <c r="K19" s="197" t="s">
        <v>55</v>
      </c>
      <c r="L19" s="197" t="s">
        <v>15</v>
      </c>
      <c r="M19" s="293">
        <f>B29</f>
        <v>0.435473969461052</v>
      </c>
    </row>
    <row r="20" spans="1:13">
      <c r="A20" s="244" t="s">
        <v>56</v>
      </c>
      <c r="B20" s="273">
        <v>0</v>
      </c>
      <c r="C20" s="248" t="s">
        <v>15</v>
      </c>
      <c r="D20" s="244"/>
      <c r="E20" s="261"/>
      <c r="F20" s="248"/>
      <c r="G20" s="244"/>
      <c r="H20" s="265"/>
      <c r="I20" s="248"/>
      <c r="J20" s="197">
        <v>18</v>
      </c>
      <c r="K20" s="197" t="s">
        <v>57</v>
      </c>
      <c r="L20" s="197" t="s">
        <v>50</v>
      </c>
      <c r="M20" s="223">
        <f>B32</f>
        <v>0.148377883290529</v>
      </c>
    </row>
    <row r="21" spans="1:13">
      <c r="A21" s="244" t="s">
        <v>58</v>
      </c>
      <c r="B21" s="273">
        <f>B22+B23</f>
        <v>147.9904125</v>
      </c>
      <c r="C21" s="248" t="s">
        <v>15</v>
      </c>
      <c r="D21" s="244"/>
      <c r="E21" s="249"/>
      <c r="F21" s="248"/>
      <c r="G21" s="260"/>
      <c r="H21" s="274"/>
      <c r="I21" s="248"/>
      <c r="J21" s="197">
        <v>19</v>
      </c>
      <c r="K21" s="197" t="s">
        <v>59</v>
      </c>
      <c r="L21" s="197" t="s">
        <v>50</v>
      </c>
      <c r="M21" s="223">
        <f>B33</f>
        <v>0.0615695026430855</v>
      </c>
    </row>
    <row r="22" spans="1:13">
      <c r="A22" s="244" t="s">
        <v>60</v>
      </c>
      <c r="B22" s="273">
        <f>B4*H24</f>
        <v>147</v>
      </c>
      <c r="C22" s="248" t="s">
        <v>15</v>
      </c>
      <c r="D22" s="244" t="s">
        <v>61</v>
      </c>
      <c r="E22" s="261">
        <f>基础输入数据!K16</f>
        <v>0.001</v>
      </c>
      <c r="F22" s="248"/>
      <c r="G22" s="260"/>
      <c r="H22" s="275"/>
      <c r="I22" s="248"/>
      <c r="J22" s="197">
        <v>20</v>
      </c>
      <c r="K22" s="197" t="s">
        <v>62</v>
      </c>
      <c r="L22" s="197" t="s">
        <v>50</v>
      </c>
      <c r="M22" s="223">
        <f>B34</f>
        <v>0.113362368935573</v>
      </c>
    </row>
    <row r="23" spans="1:17">
      <c r="A23" s="250" t="s">
        <v>63</v>
      </c>
      <c r="B23" s="276">
        <f>B4*H24*H26*H4</f>
        <v>0.9904125</v>
      </c>
      <c r="C23" s="252" t="s">
        <v>15</v>
      </c>
      <c r="D23" s="244" t="s">
        <v>64</v>
      </c>
      <c r="E23" s="247">
        <f>基础输入数据!O14</f>
        <v>0.21</v>
      </c>
      <c r="F23" s="248" t="s">
        <v>65</v>
      </c>
      <c r="G23" s="254" t="s">
        <v>66</v>
      </c>
      <c r="H23" s="255"/>
      <c r="I23" s="256"/>
      <c r="K23" s="10"/>
      <c r="L23" s="10"/>
      <c r="M23" s="10"/>
      <c r="N23" s="10"/>
      <c r="O23" s="10"/>
      <c r="P23" s="10"/>
      <c r="Q23" s="10"/>
    </row>
    <row r="24" spans="1:17">
      <c r="A24" s="254" t="s">
        <v>67</v>
      </c>
      <c r="B24" s="255"/>
      <c r="C24" s="256"/>
      <c r="D24" s="244"/>
      <c r="E24" s="249"/>
      <c r="F24" s="248"/>
      <c r="G24" s="241" t="s">
        <v>68</v>
      </c>
      <c r="H24" s="277">
        <f>基础输入数据!K7</f>
        <v>0.7</v>
      </c>
      <c r="I24" s="243"/>
      <c r="K24" s="10"/>
      <c r="L24" s="10"/>
      <c r="M24" s="10"/>
      <c r="N24" s="10"/>
      <c r="O24" s="10"/>
      <c r="P24" s="10"/>
      <c r="Q24" s="10"/>
    </row>
    <row r="25" spans="1:17">
      <c r="A25" s="278" t="s">
        <v>69</v>
      </c>
      <c r="B25" s="277"/>
      <c r="C25" s="279" t="s">
        <v>70</v>
      </c>
      <c r="D25" s="244"/>
      <c r="E25" s="247"/>
      <c r="F25" s="248"/>
      <c r="G25" s="244" t="s">
        <v>71</v>
      </c>
      <c r="H25" s="261">
        <f>1-H24</f>
        <v>0.3</v>
      </c>
      <c r="I25" s="248"/>
      <c r="K25" s="10"/>
      <c r="L25" s="10"/>
      <c r="M25" s="10"/>
      <c r="N25" s="10"/>
      <c r="O25" s="10"/>
      <c r="P25" s="10"/>
      <c r="Q25" s="10"/>
    </row>
    <row r="26" spans="1:17">
      <c r="A26" s="280" t="s">
        <v>72</v>
      </c>
      <c r="B26" s="247">
        <f>'表8 项目投资财务现金流量表'!C24</f>
        <v>8.47162583133027</v>
      </c>
      <c r="C26" s="248" t="s">
        <v>11</v>
      </c>
      <c r="D26" s="244"/>
      <c r="E26" s="249"/>
      <c r="F26" s="248"/>
      <c r="G26" s="260" t="s">
        <v>73</v>
      </c>
      <c r="H26" s="261">
        <f>基础输入数据!K5</f>
        <v>0.0539</v>
      </c>
      <c r="I26" s="248"/>
      <c r="K26" s="10"/>
      <c r="L26" s="10"/>
      <c r="M26" s="10"/>
      <c r="N26" s="10"/>
      <c r="O26" s="10"/>
      <c r="P26" s="10"/>
      <c r="Q26" s="10"/>
    </row>
    <row r="27" spans="1:17">
      <c r="A27" s="280" t="s">
        <v>74</v>
      </c>
      <c r="B27" s="247">
        <f>'表8 项目投资财务现金流量表'!E24</f>
        <v>9.53426897419694</v>
      </c>
      <c r="C27" s="248" t="s">
        <v>11</v>
      </c>
      <c r="D27" s="244"/>
      <c r="E27" s="247"/>
      <c r="F27" s="248"/>
      <c r="G27" s="244" t="s">
        <v>75</v>
      </c>
      <c r="H27" s="249">
        <v>0</v>
      </c>
      <c r="I27" s="248" t="s">
        <v>11</v>
      </c>
      <c r="K27" s="10"/>
      <c r="L27" s="10"/>
      <c r="M27" s="10"/>
      <c r="N27" s="10"/>
      <c r="O27" s="10"/>
      <c r="P27" s="10"/>
      <c r="Q27" s="10"/>
    </row>
    <row r="28" spans="1:17">
      <c r="A28" s="280" t="s">
        <v>76</v>
      </c>
      <c r="B28" s="281">
        <f>'表8 项目投资财务现金流量表'!C23</f>
        <v>27.2271423477326</v>
      </c>
      <c r="C28" s="248" t="s">
        <v>15</v>
      </c>
      <c r="D28" s="244" t="s">
        <v>77</v>
      </c>
      <c r="E28" s="261">
        <f>基础输入数据!K9</f>
        <v>0.13</v>
      </c>
      <c r="F28" s="248"/>
      <c r="G28" s="244" t="s">
        <v>78</v>
      </c>
      <c r="H28" s="249">
        <f>基础输入数据!K2</f>
        <v>15</v>
      </c>
      <c r="I28" s="248" t="s">
        <v>11</v>
      </c>
      <c r="K28" s="10"/>
      <c r="L28" s="10"/>
      <c r="M28" s="10"/>
      <c r="N28" s="10"/>
      <c r="O28" s="10"/>
      <c r="P28" s="10"/>
      <c r="Q28" s="10"/>
    </row>
    <row r="29" spans="1:17">
      <c r="A29" s="280" t="s">
        <v>79</v>
      </c>
      <c r="B29" s="281">
        <f>'表8 项目投资财务现金流量表'!E23</f>
        <v>0.435473969461052</v>
      </c>
      <c r="C29" s="248" t="s">
        <v>15</v>
      </c>
      <c r="D29" s="244" t="s">
        <v>80</v>
      </c>
      <c r="E29" s="261">
        <f>基础输入数据!K10</f>
        <v>0.05</v>
      </c>
      <c r="F29" s="248"/>
      <c r="G29" s="282" t="s">
        <v>81</v>
      </c>
      <c r="H29" s="249">
        <f>基础输入数据!K4</f>
        <v>0</v>
      </c>
      <c r="I29" s="298"/>
      <c r="K29" s="10"/>
      <c r="L29" s="10"/>
      <c r="M29" s="10"/>
      <c r="N29" s="10"/>
      <c r="O29" s="10"/>
      <c r="P29" s="10"/>
      <c r="Q29" s="10"/>
    </row>
    <row r="30" spans="1:17">
      <c r="A30" s="280" t="s">
        <v>82</v>
      </c>
      <c r="B30" s="261">
        <f>'表8 项目投资财务现金流量表'!C22</f>
        <v>0.0992419374662301</v>
      </c>
      <c r="C30" s="248"/>
      <c r="D30" s="244" t="s">
        <v>83</v>
      </c>
      <c r="E30" s="261">
        <f>基础输入数据!K11</f>
        <v>0.03</v>
      </c>
      <c r="F30" s="248"/>
      <c r="G30" s="283"/>
      <c r="H30" s="249"/>
      <c r="I30" s="298"/>
      <c r="K30" s="10"/>
      <c r="L30" s="10"/>
      <c r="M30" s="10"/>
      <c r="N30" s="10"/>
      <c r="O30" s="10"/>
      <c r="P30" s="10"/>
      <c r="Q30" s="10"/>
    </row>
    <row r="31" spans="1:17">
      <c r="A31" s="280" t="s">
        <v>84</v>
      </c>
      <c r="B31" s="261">
        <f>'表8 项目投资财务现金流量表'!E22</f>
        <v>0.0803239385684029</v>
      </c>
      <c r="C31" s="248"/>
      <c r="D31" s="244" t="s">
        <v>85</v>
      </c>
      <c r="E31" s="261">
        <f>基础输入数据!K12</f>
        <v>0.02</v>
      </c>
      <c r="F31" s="248"/>
      <c r="G31" s="254" t="s">
        <v>86</v>
      </c>
      <c r="H31" s="255"/>
      <c r="I31" s="256"/>
      <c r="K31" s="10"/>
      <c r="L31" s="10"/>
      <c r="M31" s="10"/>
      <c r="N31" s="10"/>
      <c r="O31" s="10"/>
      <c r="P31" s="10"/>
      <c r="Q31" s="10"/>
    </row>
    <row r="32" spans="1:17">
      <c r="A32" s="280" t="s">
        <v>87</v>
      </c>
      <c r="B32" s="261">
        <f>'表7 项目资本金财务现金流量表'!D36</f>
        <v>0.148377883290529</v>
      </c>
      <c r="C32" s="248"/>
      <c r="D32" s="244" t="s">
        <v>88</v>
      </c>
      <c r="E32" s="261">
        <f>基础输入数据!K13</f>
        <v>0.25</v>
      </c>
      <c r="F32" s="248"/>
      <c r="G32" s="284" t="s">
        <v>89</v>
      </c>
      <c r="H32" s="284">
        <f>基础输入数据!K18</f>
        <v>24.1592920353982</v>
      </c>
      <c r="I32" s="299" t="s">
        <v>15</v>
      </c>
      <c r="K32" s="10"/>
      <c r="L32" s="10"/>
      <c r="M32" s="10"/>
      <c r="N32" s="10"/>
      <c r="O32" s="10"/>
      <c r="P32" s="10"/>
      <c r="Q32" s="10"/>
    </row>
    <row r="33" spans="1:17">
      <c r="A33" s="280" t="s">
        <v>90</v>
      </c>
      <c r="B33" s="261">
        <f>'表5 利润与利润分配表'!C22</f>
        <v>0.0615695026430855</v>
      </c>
      <c r="C33" s="248"/>
      <c r="D33" s="244"/>
      <c r="E33" s="249"/>
      <c r="F33" s="248"/>
      <c r="G33" s="284" t="s">
        <v>91</v>
      </c>
      <c r="H33" s="284"/>
      <c r="I33" s="300" t="s">
        <v>30</v>
      </c>
      <c r="K33" s="10"/>
      <c r="L33" s="10"/>
      <c r="M33" s="10"/>
      <c r="N33" s="10"/>
      <c r="O33" s="10"/>
      <c r="P33" s="10"/>
      <c r="Q33" s="10"/>
    </row>
    <row r="34" ht="15" spans="1:17">
      <c r="A34" s="285" t="s">
        <v>62</v>
      </c>
      <c r="B34" s="286">
        <f>'表5 利润与利润分配表'!C23</f>
        <v>0.113362368935573</v>
      </c>
      <c r="C34" s="287"/>
      <c r="D34" s="288"/>
      <c r="E34" s="289"/>
      <c r="F34" s="287"/>
      <c r="G34" s="290" t="s">
        <v>92</v>
      </c>
      <c r="H34" s="291"/>
      <c r="I34" s="301" t="s">
        <v>15</v>
      </c>
      <c r="K34" s="10"/>
      <c r="L34" s="10"/>
      <c r="M34" s="10"/>
      <c r="N34" s="10"/>
      <c r="O34" s="10"/>
      <c r="P34" s="10"/>
      <c r="Q34" s="10"/>
    </row>
    <row r="35" spans="11:17">
      <c r="K35" s="10"/>
      <c r="L35" s="10"/>
      <c r="M35" s="10"/>
      <c r="N35" s="10"/>
      <c r="O35" s="10"/>
      <c r="P35" s="10"/>
      <c r="Q35" s="10"/>
    </row>
    <row r="36" spans="11:17">
      <c r="K36" s="11"/>
      <c r="L36" s="12"/>
      <c r="M36" s="12"/>
      <c r="N36" s="12"/>
      <c r="O36" s="12"/>
      <c r="P36" s="12"/>
      <c r="Q36" s="12"/>
    </row>
    <row r="37" spans="11:17">
      <c r="K37" s="12"/>
      <c r="L37" s="12"/>
      <c r="M37" s="12"/>
      <c r="N37" s="12"/>
      <c r="O37" s="12"/>
      <c r="P37" s="12"/>
      <c r="Q37" s="12"/>
    </row>
    <row r="38" spans="11:17">
      <c r="K38" s="12"/>
      <c r="L38" s="12"/>
      <c r="M38" s="12"/>
      <c r="N38" s="12"/>
      <c r="O38" s="12"/>
      <c r="P38" s="12"/>
      <c r="Q38" s="12"/>
    </row>
  </sheetData>
  <sheetProtection selectLockedCells="1" autoFilter="0"/>
  <mergeCells count="12">
    <mergeCell ref="A1:I1"/>
    <mergeCell ref="A2:F2"/>
    <mergeCell ref="G2:I2"/>
    <mergeCell ref="A6:C6"/>
    <mergeCell ref="D6:F6"/>
    <mergeCell ref="G6:I6"/>
    <mergeCell ref="A14:C14"/>
    <mergeCell ref="A18:C18"/>
    <mergeCell ref="A24:C24"/>
    <mergeCell ref="G29:G30"/>
    <mergeCell ref="K36:Q38"/>
    <mergeCell ref="K23:Q35"/>
  </mergeCells>
  <dataValidations count="1">
    <dataValidation type="list" allowBlank="1" showInputMessage="1" showErrorMessage="1" sqref="H29">
      <formula1>"0,1"</formula1>
    </dataValidation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9"/>
  <sheetViews>
    <sheetView topLeftCell="A47" workbookViewId="0">
      <selection activeCell="H77" sqref="H77:N79"/>
    </sheetView>
  </sheetViews>
  <sheetFormatPr defaultColWidth="9" defaultRowHeight="13.5"/>
  <cols>
    <col min="1" max="1" width="5" style="14" customWidth="1"/>
    <col min="2" max="2" width="20.125" style="14" customWidth="1"/>
    <col min="3" max="16" width="12.375" style="14" customWidth="1"/>
    <col min="17" max="29" width="9.5" style="14" customWidth="1"/>
    <col min="30" max="16384" width="9" style="14"/>
  </cols>
  <sheetData>
    <row r="1" ht="27" customHeight="1" spans="1:29">
      <c r="A1" s="15" t="s">
        <v>299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ht="12" customHeight="1" spans="1:16">
      <c r="A2" s="16" t="s">
        <v>215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="64" customFormat="1" ht="18.75" customHeight="1" spans="1:29">
      <c r="A3" s="17" t="s">
        <v>3</v>
      </c>
      <c r="B3" s="18" t="s">
        <v>4</v>
      </c>
      <c r="C3" s="18" t="s">
        <v>102</v>
      </c>
      <c r="D3" s="18" t="s">
        <v>128</v>
      </c>
      <c r="E3" s="18" t="s">
        <v>158</v>
      </c>
      <c r="F3" s="18" t="s">
        <v>159</v>
      </c>
      <c r="G3" s="18" t="s">
        <v>160</v>
      </c>
      <c r="H3" s="18" t="s">
        <v>161</v>
      </c>
      <c r="I3" s="18" t="s">
        <v>162</v>
      </c>
      <c r="J3" s="18" t="s">
        <v>163</v>
      </c>
      <c r="K3" s="18" t="s">
        <v>164</v>
      </c>
      <c r="L3" s="18" t="s">
        <v>165</v>
      </c>
      <c r="M3" s="18" t="s">
        <v>166</v>
      </c>
      <c r="N3" s="18" t="s">
        <v>167</v>
      </c>
      <c r="O3" s="18" t="s">
        <v>168</v>
      </c>
      <c r="P3" s="102" t="s">
        <v>169</v>
      </c>
      <c r="Q3" s="18" t="s">
        <v>170</v>
      </c>
      <c r="R3" s="18" t="s">
        <v>171</v>
      </c>
      <c r="S3" s="18" t="s">
        <v>172</v>
      </c>
      <c r="T3" s="18" t="s">
        <v>173</v>
      </c>
      <c r="U3" s="18" t="s">
        <v>174</v>
      </c>
      <c r="V3" s="18" t="s">
        <v>175</v>
      </c>
      <c r="W3" s="18" t="s">
        <v>176</v>
      </c>
      <c r="X3" s="18" t="s">
        <v>177</v>
      </c>
      <c r="Y3" s="18" t="s">
        <v>178</v>
      </c>
      <c r="Z3" s="18"/>
      <c r="AA3" s="18"/>
      <c r="AB3" s="102"/>
      <c r="AC3" s="18"/>
    </row>
    <row r="4" s="66" customFormat="1" ht="18.75" customHeight="1" spans="1:29">
      <c r="A4" s="88">
        <v>1</v>
      </c>
      <c r="B4" s="24" t="s">
        <v>300</v>
      </c>
      <c r="C4" s="89"/>
      <c r="D4" s="90">
        <f>D5+D6+D7+D8</f>
        <v>210</v>
      </c>
      <c r="E4" s="90">
        <f t="shared" ref="E4:M4" si="0">E5+E6+E7+E8</f>
        <v>190.702256978712</v>
      </c>
      <c r="F4" s="90">
        <f t="shared" si="0"/>
        <v>194.378637072508</v>
      </c>
      <c r="G4" s="90">
        <f t="shared" si="0"/>
        <v>196.749468996084</v>
      </c>
      <c r="H4" s="90">
        <f t="shared" si="0"/>
        <v>197.804557927198</v>
      </c>
      <c r="I4" s="90">
        <f t="shared" si="0"/>
        <v>196.821708087776</v>
      </c>
      <c r="J4" s="90">
        <f t="shared" si="0"/>
        <v>194.426495398012</v>
      </c>
      <c r="K4" s="90">
        <f t="shared" si="0"/>
        <v>190.708560009596</v>
      </c>
      <c r="L4" s="90">
        <f t="shared" si="0"/>
        <v>193.281006375145</v>
      </c>
      <c r="M4" s="90">
        <f t="shared" si="0"/>
        <v>91.3095554706269</v>
      </c>
      <c r="N4" s="90">
        <f t="shared" ref="N4:Y4" si="1">N5+N6+N7+N8</f>
        <v>91.170923266364</v>
      </c>
      <c r="O4" s="90">
        <f t="shared" si="1"/>
        <v>89.6550448099183</v>
      </c>
      <c r="P4" s="90">
        <f t="shared" si="1"/>
        <v>86.7464042755302</v>
      </c>
      <c r="Q4" s="90">
        <f t="shared" si="1"/>
        <v>82.4286495344317</v>
      </c>
      <c r="R4" s="90">
        <f t="shared" si="1"/>
        <v>76.6845470781142</v>
      </c>
      <c r="S4" s="90">
        <f t="shared" si="1"/>
        <v>77.1216159708015</v>
      </c>
      <c r="T4" s="90">
        <f t="shared" si="1"/>
        <v>40.5302010811381</v>
      </c>
      <c r="U4" s="90">
        <f t="shared" si="1"/>
        <v>73.6710190967274</v>
      </c>
      <c r="V4" s="90">
        <f t="shared" si="1"/>
        <v>105.722454046768</v>
      </c>
      <c r="W4" s="90">
        <f t="shared" si="1"/>
        <v>136.68450593126</v>
      </c>
      <c r="X4" s="90">
        <f t="shared" si="1"/>
        <v>166.557174750203</v>
      </c>
      <c r="Y4" s="90">
        <f t="shared" si="1"/>
        <v>195.340460503598</v>
      </c>
      <c r="Z4" s="90"/>
      <c r="AA4" s="90"/>
      <c r="AB4" s="90"/>
      <c r="AC4" s="90"/>
    </row>
    <row r="5" s="66" customFormat="1" ht="18.75" customHeight="1" spans="1:29">
      <c r="A5" s="88">
        <v>1.1</v>
      </c>
      <c r="B5" s="24" t="s">
        <v>301</v>
      </c>
      <c r="C5" s="89"/>
      <c r="D5" s="89">
        <f t="shared" ref="D5:M5" si="2">SUM(D6:D6)</f>
        <v>0</v>
      </c>
      <c r="E5" s="90">
        <f t="shared" si="2"/>
        <v>8.41546477254202</v>
      </c>
      <c r="F5" s="90">
        <f t="shared" si="2"/>
        <v>16.2383450849264</v>
      </c>
      <c r="G5" s="90">
        <f t="shared" si="2"/>
        <v>23.4084513122012</v>
      </c>
      <c r="H5" s="90">
        <f t="shared" si="2"/>
        <v>29.9206860432451</v>
      </c>
      <c r="I5" s="90">
        <f t="shared" si="2"/>
        <v>35.4139513890207</v>
      </c>
      <c r="J5" s="90">
        <f t="shared" si="2"/>
        <v>40.2010353096255</v>
      </c>
      <c r="K5" s="90">
        <f t="shared" si="2"/>
        <v>44.3267578809044</v>
      </c>
      <c r="L5" s="90">
        <f t="shared" si="2"/>
        <v>51.5976713291655</v>
      </c>
      <c r="M5" s="90">
        <f t="shared" si="2"/>
        <v>6.59663614239308</v>
      </c>
      <c r="N5" s="90">
        <f t="shared" ref="N5" si="3">SUM(N6:N6)</f>
        <v>12.5120103057484</v>
      </c>
      <c r="O5" s="90">
        <f t="shared" ref="O5" si="4">SUM(O6:O6)</f>
        <v>17.7387613430122</v>
      </c>
      <c r="P5" s="90">
        <f t="shared" ref="P5" si="5">SUM(P6:P6)</f>
        <v>22.2691313413049</v>
      </c>
      <c r="Q5" s="90">
        <f t="shared" ref="Q5" si="6">SUM(Q6:Q6)</f>
        <v>26.0949442362424</v>
      </c>
      <c r="R5" s="90">
        <f t="shared" ref="R5" si="7">SUM(R6:R6)</f>
        <v>29.2075832735704</v>
      </c>
      <c r="S5" s="90">
        <f t="shared" ref="S5" si="8">SUM(S6:S6)</f>
        <v>35.4108079854007</v>
      </c>
      <c r="T5" s="90">
        <f t="shared" ref="T5" si="9">SUM(T6:T6)</f>
        <v>17.115100540569</v>
      </c>
      <c r="U5" s="90">
        <f t="shared" ref="U5" si="10">SUM(U6:U6)</f>
        <v>33.6855095483637</v>
      </c>
      <c r="V5" s="90">
        <f t="shared" ref="V5" si="11">SUM(V6:V6)</f>
        <v>49.711227023384</v>
      </c>
      <c r="W5" s="90">
        <f t="shared" ref="W5" si="12">SUM(W6:W6)</f>
        <v>65.19225296563</v>
      </c>
      <c r="X5" s="90">
        <f t="shared" ref="X5" si="13">SUM(X6:X6)</f>
        <v>80.1285873751016</v>
      </c>
      <c r="Y5" s="90">
        <f t="shared" ref="Y5" si="14">SUM(Y6:Y6)</f>
        <v>94.5202302517988</v>
      </c>
      <c r="Z5" s="90"/>
      <c r="AA5" s="90"/>
      <c r="AB5" s="90"/>
      <c r="AC5" s="90"/>
    </row>
    <row r="6" s="66" customFormat="1" ht="18.75" customHeight="1" spans="1:29">
      <c r="A6" s="88" t="s">
        <v>194</v>
      </c>
      <c r="B6" s="24" t="s">
        <v>302</v>
      </c>
      <c r="C6" s="89"/>
      <c r="D6" s="91"/>
      <c r="E6" s="89">
        <f>'表11 财务计划现金流量表'!E27</f>
        <v>8.41546477254202</v>
      </c>
      <c r="F6" s="89">
        <f>'表11 财务计划现金流量表'!F27</f>
        <v>16.2383450849264</v>
      </c>
      <c r="G6" s="89">
        <f>'表11 财务计划现金流量表'!G27</f>
        <v>23.4084513122012</v>
      </c>
      <c r="H6" s="89">
        <f>'表11 财务计划现金流量表'!H27</f>
        <v>29.9206860432451</v>
      </c>
      <c r="I6" s="89">
        <f>'表11 财务计划现金流量表'!I27</f>
        <v>35.4139513890207</v>
      </c>
      <c r="J6" s="89">
        <f>'表11 财务计划现金流量表'!J27</f>
        <v>40.2010353096255</v>
      </c>
      <c r="K6" s="89">
        <f>'表11 财务计划现金流量表'!K27</f>
        <v>44.3267578809044</v>
      </c>
      <c r="L6" s="89">
        <f>'表11 财务计划现金流量表'!L27</f>
        <v>51.5976713291655</v>
      </c>
      <c r="M6" s="89">
        <f>'表11 财务计划现金流量表'!M27</f>
        <v>6.59663614239308</v>
      </c>
      <c r="N6" s="89">
        <f>'表11 财务计划现金流量表'!N27</f>
        <v>12.5120103057484</v>
      </c>
      <c r="O6" s="89">
        <f>'表11 财务计划现金流量表'!O27</f>
        <v>17.7387613430122</v>
      </c>
      <c r="P6" s="89">
        <f>'表11 财务计划现金流量表'!P27</f>
        <v>22.2691313413049</v>
      </c>
      <c r="Q6" s="89">
        <f>'表11 财务计划现金流量表'!Q27</f>
        <v>26.0949442362424</v>
      </c>
      <c r="R6" s="89">
        <f>'表11 财务计划现金流量表'!R27</f>
        <v>29.2075832735704</v>
      </c>
      <c r="S6" s="89">
        <f>'表11 财务计划现金流量表'!S27</f>
        <v>35.4108079854007</v>
      </c>
      <c r="T6" s="89">
        <f>'表11 财务计划现金流量表'!T27</f>
        <v>17.115100540569</v>
      </c>
      <c r="U6" s="89">
        <f>'表11 财务计划现金流量表'!U27</f>
        <v>33.6855095483637</v>
      </c>
      <c r="V6" s="89">
        <f>'表11 财务计划现金流量表'!V27</f>
        <v>49.711227023384</v>
      </c>
      <c r="W6" s="89">
        <f>'表11 财务计划现金流量表'!W27</f>
        <v>65.19225296563</v>
      </c>
      <c r="X6" s="89">
        <f>'表11 财务计划现金流量表'!X27</f>
        <v>80.1285873751016</v>
      </c>
      <c r="Y6" s="89">
        <f>'表11 财务计划现金流量表'!Y27</f>
        <v>94.5202302517988</v>
      </c>
      <c r="Z6" s="89"/>
      <c r="AA6" s="89"/>
      <c r="AB6" s="89"/>
      <c r="AC6" s="89"/>
    </row>
    <row r="7" s="66" customFormat="1" ht="18.75" customHeight="1" spans="1:29">
      <c r="A7" s="88">
        <v>1.2</v>
      </c>
      <c r="B7" s="24" t="s">
        <v>303</v>
      </c>
      <c r="C7" s="89"/>
      <c r="D7" s="90">
        <f>基础输入数据!D3</f>
        <v>210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s="66" customFormat="1" ht="18.75" customHeight="1" spans="1:29">
      <c r="A8" s="88">
        <v>1.3</v>
      </c>
      <c r="B8" s="24" t="s">
        <v>304</v>
      </c>
      <c r="C8" s="89"/>
      <c r="D8" s="91"/>
      <c r="E8" s="89">
        <f>'表3 固定资产折旧费估算表'!D16</f>
        <v>173.871327433628</v>
      </c>
      <c r="F8" s="89">
        <f>'表3 固定资产折旧费估算表'!E16</f>
        <v>161.901946902655</v>
      </c>
      <c r="G8" s="89">
        <f>'表3 固定资产折旧费估算表'!F16</f>
        <v>149.932566371681</v>
      </c>
      <c r="H8" s="89">
        <f>'表3 固定资产折旧费估算表'!G16</f>
        <v>137.963185840708</v>
      </c>
      <c r="I8" s="89">
        <f>'表3 固定资产折旧费估算表'!H16</f>
        <v>125.993805309735</v>
      </c>
      <c r="J8" s="89">
        <f>'表3 固定资产折旧费估算表'!I16</f>
        <v>114.024424778761</v>
      </c>
      <c r="K8" s="89">
        <f>'表3 固定资产折旧费估算表'!J16</f>
        <v>102.055044247788</v>
      </c>
      <c r="L8" s="89">
        <f>'表3 固定资产折旧费估算表'!K16</f>
        <v>90.0856637168142</v>
      </c>
      <c r="M8" s="89">
        <f>'表3 固定资产折旧费估算表'!L16</f>
        <v>78.1162831858407</v>
      </c>
      <c r="N8" s="89">
        <f>'表3 固定资产折旧费估算表'!M16</f>
        <v>66.1469026548673</v>
      </c>
      <c r="O8" s="89">
        <f>'表3 固定资产折旧费估算表'!N16</f>
        <v>54.1775221238938</v>
      </c>
      <c r="P8" s="89">
        <f>'表3 固定资产折旧费估算表'!O16</f>
        <v>42.2081415929204</v>
      </c>
      <c r="Q8" s="89">
        <f>'表3 固定资产折旧费估算表'!P16</f>
        <v>30.2387610619469</v>
      </c>
      <c r="R8" s="89">
        <f>'表3 固定资产折旧费估算表'!Q16</f>
        <v>18.2693805309735</v>
      </c>
      <c r="S8" s="89">
        <f>'表3 固定资产折旧费估算表'!R16</f>
        <v>6.30000000000004</v>
      </c>
      <c r="T8" s="89">
        <f>'表3 固定资产折旧费估算表'!S16</f>
        <v>6.30000000000004</v>
      </c>
      <c r="U8" s="89">
        <f>'表3 固定资产折旧费估算表'!T16</f>
        <v>6.30000000000004</v>
      </c>
      <c r="V8" s="89">
        <f>'表3 固定资产折旧费估算表'!U16</f>
        <v>6.30000000000004</v>
      </c>
      <c r="W8" s="89">
        <f>'表3 固定资产折旧费估算表'!V16</f>
        <v>6.30000000000004</v>
      </c>
      <c r="X8" s="89">
        <f>'表3 固定资产折旧费估算表'!W16</f>
        <v>6.30000000000004</v>
      </c>
      <c r="Y8" s="89">
        <f>'表3 固定资产折旧费估算表'!X16</f>
        <v>6.30000000000004</v>
      </c>
      <c r="Z8" s="89"/>
      <c r="AA8" s="89"/>
      <c r="AB8" s="89"/>
      <c r="AC8" s="89"/>
    </row>
    <row r="9" s="66" customFormat="1" ht="18.75" customHeight="1" spans="1:29">
      <c r="A9" s="88">
        <v>2</v>
      </c>
      <c r="B9" s="92" t="s">
        <v>305</v>
      </c>
      <c r="C9" s="89"/>
      <c r="D9" s="90">
        <f>D17+D18</f>
        <v>210.9904125</v>
      </c>
      <c r="E9" s="90">
        <f>E17+E18</f>
        <v>207.436496741569</v>
      </c>
      <c r="F9" s="90">
        <f t="shared" ref="F9:M9" si="15">F17+F18</f>
        <v>203.289996522979</v>
      </c>
      <c r="G9" s="90">
        <f t="shared" si="15"/>
        <v>198.490722219281</v>
      </c>
      <c r="H9" s="90">
        <f t="shared" si="15"/>
        <v>193.033576419351</v>
      </c>
      <c r="I9" s="90">
        <f t="shared" si="15"/>
        <v>186.557461234153</v>
      </c>
      <c r="J9" s="90">
        <f t="shared" si="15"/>
        <v>179.375164623785</v>
      </c>
      <c r="K9" s="90">
        <f t="shared" si="15"/>
        <v>171.53150666409</v>
      </c>
      <c r="L9" s="90">
        <f t="shared" si="15"/>
        <v>166.833039581378</v>
      </c>
      <c r="M9" s="90">
        <f t="shared" si="15"/>
        <v>154.285532548258</v>
      </c>
      <c r="N9" s="90">
        <f t="shared" ref="N9:Y9" si="16">N17+N18</f>
        <v>148.23152618064</v>
      </c>
      <c r="O9" s="90">
        <f t="shared" si="16"/>
        <v>141.488896686931</v>
      </c>
      <c r="P9" s="90">
        <f t="shared" si="16"/>
        <v>134.04988615425</v>
      </c>
      <c r="Q9" s="90">
        <f t="shared" si="16"/>
        <v>125.906318518214</v>
      </c>
      <c r="R9" s="90">
        <f t="shared" si="16"/>
        <v>117.049577024568</v>
      </c>
      <c r="S9" s="90">
        <f t="shared" si="16"/>
        <v>111.283421205425</v>
      </c>
      <c r="T9" s="90">
        <f t="shared" si="16"/>
        <v>128.398521745994</v>
      </c>
      <c r="U9" s="90">
        <f t="shared" si="16"/>
        <v>122.499516138484</v>
      </c>
      <c r="V9" s="90">
        <f t="shared" si="16"/>
        <v>138.525233613504</v>
      </c>
      <c r="W9" s="90">
        <f t="shared" si="16"/>
        <v>154.00625955575</v>
      </c>
      <c r="X9" s="90">
        <f t="shared" si="16"/>
        <v>168.942593965222</v>
      </c>
      <c r="Y9" s="90">
        <f t="shared" si="16"/>
        <v>183.334236841919</v>
      </c>
      <c r="Z9" s="90"/>
      <c r="AA9" s="90"/>
      <c r="AB9" s="90"/>
      <c r="AC9" s="90"/>
    </row>
    <row r="10" s="66" customFormat="1" ht="18.75" customHeight="1" spans="1:29">
      <c r="A10" s="88">
        <v>2.1</v>
      </c>
      <c r="B10" s="24" t="s">
        <v>306</v>
      </c>
      <c r="C10" s="89">
        <f t="shared" ref="C10:C21" si="17">SUM(D10:AB10)</f>
        <v>0</v>
      </c>
      <c r="D10" s="89">
        <f>SUM(D11:D14)</f>
        <v>0</v>
      </c>
      <c r="E10" s="89">
        <f t="shared" ref="E10:L10" si="18">SUM(E11:E14)</f>
        <v>0</v>
      </c>
      <c r="F10" s="89">
        <f t="shared" si="18"/>
        <v>0</v>
      </c>
      <c r="G10" s="89">
        <f t="shared" si="18"/>
        <v>0</v>
      </c>
      <c r="H10" s="89">
        <f t="shared" si="18"/>
        <v>0</v>
      </c>
      <c r="I10" s="89">
        <f t="shared" si="18"/>
        <v>0</v>
      </c>
      <c r="J10" s="89">
        <f t="shared" si="18"/>
        <v>0</v>
      </c>
      <c r="K10" s="89">
        <f t="shared" si="18"/>
        <v>0</v>
      </c>
      <c r="L10" s="89">
        <f t="shared" si="18"/>
        <v>0</v>
      </c>
      <c r="M10" s="89">
        <f t="shared" ref="M10:Y10" si="19">SUM(M11:M14)</f>
        <v>0</v>
      </c>
      <c r="N10" s="89">
        <f t="shared" si="19"/>
        <v>0</v>
      </c>
      <c r="O10" s="89">
        <f t="shared" si="19"/>
        <v>0</v>
      </c>
      <c r="P10" s="89">
        <f t="shared" si="19"/>
        <v>0</v>
      </c>
      <c r="Q10" s="89">
        <f t="shared" si="19"/>
        <v>0</v>
      </c>
      <c r="R10" s="89">
        <f t="shared" si="19"/>
        <v>0</v>
      </c>
      <c r="S10" s="89">
        <f t="shared" si="19"/>
        <v>0</v>
      </c>
      <c r="T10" s="89">
        <f t="shared" si="19"/>
        <v>0</v>
      </c>
      <c r="U10" s="89">
        <f t="shared" si="19"/>
        <v>0</v>
      </c>
      <c r="V10" s="89">
        <f t="shared" si="19"/>
        <v>0</v>
      </c>
      <c r="W10" s="89">
        <f t="shared" si="19"/>
        <v>0</v>
      </c>
      <c r="X10" s="89">
        <f t="shared" si="19"/>
        <v>0</v>
      </c>
      <c r="Y10" s="89">
        <f t="shared" si="19"/>
        <v>0</v>
      </c>
      <c r="Z10" s="89"/>
      <c r="AA10" s="89"/>
      <c r="AB10" s="89"/>
      <c r="AC10" s="89"/>
    </row>
    <row r="11" s="66" customFormat="1" ht="18.75" customHeight="1" spans="1:29">
      <c r="A11" s="88" t="s">
        <v>307</v>
      </c>
      <c r="B11" s="24" t="s">
        <v>308</v>
      </c>
      <c r="C11" s="89">
        <f t="shared" si="17"/>
        <v>0</v>
      </c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</row>
    <row r="12" s="66" customFormat="1" ht="18.75" customHeight="1" spans="1:29">
      <c r="A12" s="88" t="s">
        <v>309</v>
      </c>
      <c r="B12" s="24" t="s">
        <v>310</v>
      </c>
      <c r="C12" s="89">
        <f t="shared" si="17"/>
        <v>0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</row>
    <row r="13" s="66" customFormat="1" ht="18.75" customHeight="1" spans="1:29">
      <c r="A13" s="88" t="s">
        <v>311</v>
      </c>
      <c r="B13" s="24" t="s">
        <v>312</v>
      </c>
      <c r="C13" s="89">
        <f t="shared" si="17"/>
        <v>0</v>
      </c>
      <c r="D13" s="90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 s="66" customFormat="1" ht="18.75" customHeight="1" spans="1:29">
      <c r="A14" s="88" t="s">
        <v>313</v>
      </c>
      <c r="B14" s="24" t="s">
        <v>133</v>
      </c>
      <c r="C14" s="89">
        <f t="shared" si="17"/>
        <v>0</v>
      </c>
      <c r="D14" s="9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 s="66" customFormat="1" ht="18.75" customHeight="1" spans="1:29">
      <c r="A15" s="88">
        <v>2.2</v>
      </c>
      <c r="B15" s="24" t="s">
        <v>314</v>
      </c>
      <c r="C15" s="89">
        <f t="shared" si="17"/>
        <v>0</v>
      </c>
      <c r="D15" s="90"/>
      <c r="E15" s="89">
        <v>0</v>
      </c>
      <c r="F15" s="89">
        <f>E15</f>
        <v>0</v>
      </c>
      <c r="G15" s="89">
        <f t="shared" ref="G15:L15" si="20">F15</f>
        <v>0</v>
      </c>
      <c r="H15" s="89">
        <f t="shared" si="20"/>
        <v>0</v>
      </c>
      <c r="I15" s="89">
        <f t="shared" si="20"/>
        <v>0</v>
      </c>
      <c r="J15" s="89">
        <f t="shared" si="20"/>
        <v>0</v>
      </c>
      <c r="K15" s="89">
        <f t="shared" si="20"/>
        <v>0</v>
      </c>
      <c r="L15" s="89">
        <f t="shared" si="20"/>
        <v>0</v>
      </c>
      <c r="M15" s="89">
        <v>0</v>
      </c>
      <c r="N15" s="89">
        <f t="shared" ref="N15" si="21">M15</f>
        <v>0</v>
      </c>
      <c r="O15" s="89">
        <f t="shared" ref="O15" si="22">N15</f>
        <v>0</v>
      </c>
      <c r="P15" s="89">
        <f t="shared" ref="P15" si="23">O15</f>
        <v>0</v>
      </c>
      <c r="Q15" s="89">
        <f t="shared" ref="Q15" si="24">P15</f>
        <v>0</v>
      </c>
      <c r="R15" s="89">
        <f t="shared" ref="R15" si="25">Q15</f>
        <v>0</v>
      </c>
      <c r="S15" s="89">
        <f t="shared" ref="S15" si="26">R15</f>
        <v>0</v>
      </c>
      <c r="T15" s="89">
        <f t="shared" ref="T15" si="27">S15</f>
        <v>0</v>
      </c>
      <c r="U15" s="89">
        <v>0</v>
      </c>
      <c r="V15" s="89">
        <f t="shared" ref="V15" si="28">U15</f>
        <v>0</v>
      </c>
      <c r="W15" s="89">
        <f t="shared" ref="W15" si="29">V15</f>
        <v>0</v>
      </c>
      <c r="X15" s="89">
        <f t="shared" ref="X15" si="30">W15</f>
        <v>0</v>
      </c>
      <c r="Y15" s="89">
        <f t="shared" ref="Y15" si="31">X15</f>
        <v>0</v>
      </c>
      <c r="Z15" s="89"/>
      <c r="AA15" s="89"/>
      <c r="AB15" s="89"/>
      <c r="AC15" s="89"/>
    </row>
    <row r="16" s="66" customFormat="1" ht="18.75" customHeight="1" spans="1:29">
      <c r="A16" s="88">
        <v>2.3</v>
      </c>
      <c r="B16" s="24" t="s">
        <v>58</v>
      </c>
      <c r="C16" s="89"/>
      <c r="D16" s="90">
        <f>'表6 还本付息表'!D4+'表6 还本付息表'!D5</f>
        <v>147.9904125</v>
      </c>
      <c r="E16" s="90">
        <f>'表6 还本付息表'!E9</f>
        <v>141.331049043506</v>
      </c>
      <c r="F16" s="90">
        <f>'表6 还本付息表'!F9</f>
        <v>134.312745896708</v>
      </c>
      <c r="G16" s="90">
        <f>'表6 还本付息表'!G9</f>
        <v>126.916156210296</v>
      </c>
      <c r="H16" s="90">
        <f>'表6 还本付息表'!H9</f>
        <v>119.120890339788</v>
      </c>
      <c r="I16" s="90">
        <f>'表6 还本付息表'!I9</f>
        <v>110.905459638858</v>
      </c>
      <c r="J16" s="90">
        <f>'表6 还本付息表'!J9</f>
        <v>102.247217223149</v>
      </c>
      <c r="K16" s="90">
        <f>'表6 还本付息表'!K9</f>
        <v>93.1222955412332</v>
      </c>
      <c r="L16" s="90">
        <f>'表6 还本付息表'!L9</f>
        <v>83.5055405806619</v>
      </c>
      <c r="M16" s="90">
        <f>'表6 还本付息表'!M9</f>
        <v>73.3704425277159</v>
      </c>
      <c r="N16" s="90">
        <f>'表6 还本付息表'!N9</f>
        <v>62.689062689716</v>
      </c>
      <c r="O16" s="90">
        <f>'表6 还本付息表'!O9</f>
        <v>51.431956478448</v>
      </c>
      <c r="P16" s="90">
        <f>'表6 还本付息表'!P9</f>
        <v>39.5680922423926</v>
      </c>
      <c r="Q16" s="90">
        <f>'表6 还本付息表'!Q9</f>
        <v>27.0647657240139</v>
      </c>
      <c r="R16" s="90">
        <f>'表6 还本付息表'!R9</f>
        <v>13.8875099062945</v>
      </c>
      <c r="S16" s="90">
        <f>'表6 还本付息表'!S9</f>
        <v>3.23074900165921e-14</v>
      </c>
      <c r="T16" s="90">
        <f>'表6 还本付息表'!T9</f>
        <v>3.23074900165921e-14</v>
      </c>
      <c r="U16" s="90">
        <f>'表6 还本付息表'!U9</f>
        <v>3.23074900165921e-14</v>
      </c>
      <c r="V16" s="90">
        <f>'表6 还本付息表'!V9</f>
        <v>3.23074900165921e-14</v>
      </c>
      <c r="W16" s="90">
        <f>'表6 还本付息表'!W9</f>
        <v>3.23074900165921e-14</v>
      </c>
      <c r="X16" s="90">
        <f>'表6 还本付息表'!X9</f>
        <v>3.23074900165921e-14</v>
      </c>
      <c r="Y16" s="90">
        <f>'表6 还本付息表'!Y9</f>
        <v>3.23074900165921e-14</v>
      </c>
      <c r="Z16" s="90"/>
      <c r="AA16" s="90"/>
      <c r="AB16" s="90"/>
      <c r="AC16" s="90"/>
    </row>
    <row r="17" s="66" customFormat="1" ht="18.75" customHeight="1" spans="1:29">
      <c r="A17" s="88">
        <v>2.4</v>
      </c>
      <c r="B17" s="24" t="s">
        <v>315</v>
      </c>
      <c r="C17" s="89"/>
      <c r="D17" s="90">
        <f t="shared" ref="D17:L17" si="32">D10+D15+D16</f>
        <v>147.9904125</v>
      </c>
      <c r="E17" s="90">
        <f t="shared" si="32"/>
        <v>141.331049043506</v>
      </c>
      <c r="F17" s="90">
        <f t="shared" si="32"/>
        <v>134.312745896708</v>
      </c>
      <c r="G17" s="90">
        <f t="shared" si="32"/>
        <v>126.916156210296</v>
      </c>
      <c r="H17" s="90">
        <f t="shared" si="32"/>
        <v>119.120890339788</v>
      </c>
      <c r="I17" s="90">
        <f t="shared" si="32"/>
        <v>110.905459638858</v>
      </c>
      <c r="J17" s="90">
        <f t="shared" si="32"/>
        <v>102.247217223149</v>
      </c>
      <c r="K17" s="90">
        <f t="shared" si="32"/>
        <v>93.1222955412332</v>
      </c>
      <c r="L17" s="90">
        <f t="shared" si="32"/>
        <v>83.5055405806619</v>
      </c>
      <c r="M17" s="90">
        <f t="shared" ref="M17" si="33">M10+M15+M16</f>
        <v>73.3704425277159</v>
      </c>
      <c r="N17" s="90">
        <f t="shared" ref="N17" si="34">N10+N15+N16</f>
        <v>62.689062689716</v>
      </c>
      <c r="O17" s="90">
        <f t="shared" ref="O17" si="35">O10+O15+O16</f>
        <v>51.431956478448</v>
      </c>
      <c r="P17" s="90">
        <f t="shared" ref="P17" si="36">P10+P15+P16</f>
        <v>39.5680922423926</v>
      </c>
      <c r="Q17" s="90">
        <f t="shared" ref="Q17" si="37">Q10+Q15+Q16</f>
        <v>27.0647657240139</v>
      </c>
      <c r="R17" s="90">
        <f t="shared" ref="R17" si="38">R10+R15+R16</f>
        <v>13.8875099062945</v>
      </c>
      <c r="S17" s="90">
        <f t="shared" ref="S17" si="39">S10+S15+S16</f>
        <v>3.23074900165921e-14</v>
      </c>
      <c r="T17" s="90">
        <f t="shared" ref="T17" si="40">T10+T15+T16</f>
        <v>3.23074900165921e-14</v>
      </c>
      <c r="U17" s="90">
        <f t="shared" ref="U17" si="41">U10+U15+U16</f>
        <v>3.23074900165921e-14</v>
      </c>
      <c r="V17" s="90">
        <f t="shared" ref="V17" si="42">V10+V15+V16</f>
        <v>3.23074900165921e-14</v>
      </c>
      <c r="W17" s="90">
        <f t="shared" ref="W17" si="43">W10+W15+W16</f>
        <v>3.23074900165921e-14</v>
      </c>
      <c r="X17" s="90">
        <f t="shared" ref="X17" si="44">X10+X15+X16</f>
        <v>3.23074900165921e-14</v>
      </c>
      <c r="Y17" s="90">
        <f t="shared" ref="Y17" si="45">Y10+Y15+Y16</f>
        <v>3.23074900165921e-14</v>
      </c>
      <c r="Z17" s="90"/>
      <c r="AA17" s="90"/>
      <c r="AB17" s="90"/>
      <c r="AC17" s="90"/>
    </row>
    <row r="18" s="66" customFormat="1" ht="18.75" customHeight="1" spans="1:29">
      <c r="A18" s="88">
        <v>2.5</v>
      </c>
      <c r="B18" s="24" t="s">
        <v>316</v>
      </c>
      <c r="C18" s="89"/>
      <c r="D18" s="90">
        <f>SUM(D19:D22)</f>
        <v>63</v>
      </c>
      <c r="E18" s="90">
        <f>SUM(E19:E22)</f>
        <v>66.1054476980623</v>
      </c>
      <c r="F18" s="90">
        <f t="shared" ref="F18:M18" si="46">SUM(F19:F22)</f>
        <v>68.9772506262719</v>
      </c>
      <c r="G18" s="90">
        <f t="shared" si="46"/>
        <v>71.5745660089845</v>
      </c>
      <c r="H18" s="90">
        <f t="shared" si="46"/>
        <v>73.9126860795637</v>
      </c>
      <c r="I18" s="90">
        <f t="shared" si="46"/>
        <v>75.652001595295</v>
      </c>
      <c r="J18" s="90">
        <f t="shared" si="46"/>
        <v>77.1279474006357</v>
      </c>
      <c r="K18" s="90">
        <f t="shared" si="46"/>
        <v>78.409211122857</v>
      </c>
      <c r="L18" s="90">
        <f t="shared" si="46"/>
        <v>83.327499000716</v>
      </c>
      <c r="M18" s="90">
        <f t="shared" si="46"/>
        <v>80.9150900205425</v>
      </c>
      <c r="N18" s="90">
        <f t="shared" ref="N18:Y18" si="47">SUM(N19:N22)</f>
        <v>85.5424634909242</v>
      </c>
      <c r="O18" s="90">
        <f t="shared" si="47"/>
        <v>90.0569402084827</v>
      </c>
      <c r="P18" s="90">
        <f t="shared" si="47"/>
        <v>94.4817939118573</v>
      </c>
      <c r="Q18" s="90">
        <f t="shared" si="47"/>
        <v>98.8415527942001</v>
      </c>
      <c r="R18" s="90">
        <f t="shared" si="47"/>
        <v>103.162067118274</v>
      </c>
      <c r="S18" s="90">
        <f t="shared" si="47"/>
        <v>111.283421205425</v>
      </c>
      <c r="T18" s="90">
        <f t="shared" si="47"/>
        <v>128.398521745994</v>
      </c>
      <c r="U18" s="90">
        <f t="shared" si="47"/>
        <v>122.499516138484</v>
      </c>
      <c r="V18" s="90">
        <f t="shared" si="47"/>
        <v>138.525233613504</v>
      </c>
      <c r="W18" s="90">
        <f t="shared" si="47"/>
        <v>154.00625955575</v>
      </c>
      <c r="X18" s="90">
        <f t="shared" si="47"/>
        <v>168.942593965221</v>
      </c>
      <c r="Y18" s="90">
        <f t="shared" si="47"/>
        <v>183.334236841919</v>
      </c>
      <c r="Z18" s="90"/>
      <c r="AA18" s="90"/>
      <c r="AB18" s="90"/>
      <c r="AC18" s="90"/>
    </row>
    <row r="19" s="66" customFormat="1" ht="18.75" customHeight="1" spans="1:29">
      <c r="A19" s="88" t="s">
        <v>317</v>
      </c>
      <c r="B19" s="24" t="s">
        <v>318</v>
      </c>
      <c r="C19" s="89"/>
      <c r="D19" s="90">
        <f>基础输入数据!$D$3*基础输入数据!$K$8</f>
        <v>63</v>
      </c>
      <c r="E19" s="90">
        <f>基础输入数据!$D$3*基础输入数据!$K$8</f>
        <v>63</v>
      </c>
      <c r="F19" s="90">
        <f>基础输入数据!$D$3*基础输入数据!$K$8</f>
        <v>63</v>
      </c>
      <c r="G19" s="90">
        <f>基础输入数据!$D$3*基础输入数据!$K$8</f>
        <v>63</v>
      </c>
      <c r="H19" s="90">
        <f>基础输入数据!$D$3*基础输入数据!$K$8</f>
        <v>63</v>
      </c>
      <c r="I19" s="90">
        <f>基础输入数据!$D$3*基础输入数据!$K$8</f>
        <v>63</v>
      </c>
      <c r="J19" s="90">
        <f>基础输入数据!$D$3*基础输入数据!$K$8</f>
        <v>63</v>
      </c>
      <c r="K19" s="90">
        <f>基础输入数据!$D$3*基础输入数据!$K$8</f>
        <v>63</v>
      </c>
      <c r="L19" s="90">
        <f>基础输入数据!$D$3*基础输入数据!$K$8</f>
        <v>63</v>
      </c>
      <c r="M19" s="90">
        <f>基础输入数据!$D$3*基础输入数据!$K$8</f>
        <v>63</v>
      </c>
      <c r="N19" s="90">
        <f>基础输入数据!$D$3*基础输入数据!$K$8</f>
        <v>63</v>
      </c>
      <c r="O19" s="90">
        <f>基础输入数据!$D$3*基础输入数据!$K$8</f>
        <v>63</v>
      </c>
      <c r="P19" s="90">
        <f>基础输入数据!$D$3*基础输入数据!$K$8</f>
        <v>63</v>
      </c>
      <c r="Q19" s="90">
        <f>基础输入数据!$D$3*基础输入数据!$K$8</f>
        <v>63</v>
      </c>
      <c r="R19" s="90">
        <f>基础输入数据!$D$3*基础输入数据!$K$8</f>
        <v>63</v>
      </c>
      <c r="S19" s="90">
        <f>基础输入数据!$D$3*基础输入数据!$K$8</f>
        <v>63</v>
      </c>
      <c r="T19" s="90">
        <f>基础输入数据!$D$3*基础输入数据!$K$8</f>
        <v>63</v>
      </c>
      <c r="U19" s="90">
        <f>基础输入数据!$D$3*基础输入数据!$K$8</f>
        <v>63</v>
      </c>
      <c r="V19" s="90">
        <f>基础输入数据!$D$3*基础输入数据!$K$8</f>
        <v>63</v>
      </c>
      <c r="W19" s="90">
        <f>基础输入数据!$D$3*基础输入数据!$K$8</f>
        <v>63</v>
      </c>
      <c r="X19" s="90">
        <f>基础输入数据!$D$3*基础输入数据!$K$8</f>
        <v>63</v>
      </c>
      <c r="Y19" s="90">
        <f>基础输入数据!$D$3*基础输入数据!$K$8</f>
        <v>63</v>
      </c>
      <c r="Z19" s="90"/>
      <c r="AA19" s="90"/>
      <c r="AB19" s="90"/>
      <c r="AC19" s="90"/>
    </row>
    <row r="20" s="66" customFormat="1" ht="18.75" customHeight="1" spans="1:29">
      <c r="A20" s="88" t="s">
        <v>319</v>
      </c>
      <c r="B20" s="24" t="s">
        <v>320</v>
      </c>
      <c r="C20" s="89"/>
      <c r="D20" s="91"/>
      <c r="E20" s="90">
        <f>'表5 利润与利润分配表'!D15</f>
        <v>0.31054476980623</v>
      </c>
      <c r="F20" s="90">
        <f>'表5 利润与利润分配表'!E15</f>
        <v>0.877215355452799</v>
      </c>
      <c r="G20" s="90">
        <f>'表5 利润与利润分配表'!F15</f>
        <v>1.64695042080596</v>
      </c>
      <c r="H20" s="90">
        <f>'表5 利润与利润分配表'!G15</f>
        <v>2.57352398668174</v>
      </c>
      <c r="I20" s="90">
        <f>'表5 利润与利润分配表'!H15</f>
        <v>3.58137174754307</v>
      </c>
      <c r="J20" s="90">
        <f>'表5 利润与利润分配表'!I15</f>
        <v>4.63602931285233</v>
      </c>
      <c r="K20" s="90">
        <f>'表5 利润与利润分配表'!J15</f>
        <v>5.7133474938528</v>
      </c>
      <c r="L20" s="90">
        <f>'表5 利润与利润分配表'!K15</f>
        <v>7.17476264453911</v>
      </c>
      <c r="M20" s="90">
        <f>'表5 利润与利润分配表'!L15</f>
        <v>1.79150900205425</v>
      </c>
      <c r="N20" s="90">
        <f>'表5 利润与利润分配表'!M15</f>
        <v>3.86660445094125</v>
      </c>
      <c r="O20" s="90">
        <f>'表5 利润与利润分配表'!N15</f>
        <v>6.18563802669539</v>
      </c>
      <c r="P20" s="90">
        <f>'表5 利润与利润分配表'!O15</f>
        <v>8.71525361521158</v>
      </c>
      <c r="Q20" s="90">
        <f>'表5 利润与利润分配表'!P15</f>
        <v>11.4278835331104</v>
      </c>
      <c r="R20" s="90">
        <f>'表5 利润与利润分配表'!Q15</f>
        <v>14.3013018916268</v>
      </c>
      <c r="S20" s="90">
        <f>'表5 利润与利润分配表'!R15</f>
        <v>17.6995138230066</v>
      </c>
      <c r="T20" s="90">
        <f>'表5 利润与利润分配表'!S15</f>
        <v>22.4694146153054</v>
      </c>
      <c r="U20" s="90">
        <f>'表5 利润与利润分配表'!T15</f>
        <v>5.94995161384836</v>
      </c>
      <c r="V20" s="90">
        <f>'表5 利润与利润分配表'!U15</f>
        <v>12.9074798138139</v>
      </c>
      <c r="W20" s="90">
        <f>'表5 利润与利润分配表'!V15</f>
        <v>20.7173577880075</v>
      </c>
      <c r="X20" s="90">
        <f>'表5 利润与利润分配表'!W15</f>
        <v>29.2398814057289</v>
      </c>
      <c r="Y20" s="90">
        <f>'表5 利润与利润分配表'!X15</f>
        <v>38.3493169493479</v>
      </c>
      <c r="Z20" s="90"/>
      <c r="AA20" s="90"/>
      <c r="AB20" s="90"/>
      <c r="AC20" s="90"/>
    </row>
    <row r="21" s="66" customFormat="1" ht="18.75" customHeight="1" spans="1:29">
      <c r="A21" s="88" t="s">
        <v>321</v>
      </c>
      <c r="B21" s="24" t="s">
        <v>322</v>
      </c>
      <c r="C21" s="89">
        <f t="shared" si="17"/>
        <v>0</v>
      </c>
      <c r="D21" s="91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</row>
    <row r="22" s="66" customFormat="1" ht="18.75" customHeight="1" spans="1:29">
      <c r="A22" s="88" t="s">
        <v>323</v>
      </c>
      <c r="B22" s="24" t="s">
        <v>255</v>
      </c>
      <c r="C22" s="89"/>
      <c r="D22" s="91"/>
      <c r="E22" s="90">
        <f>'表5 利润与利润分配表'!D19</f>
        <v>2.79490292825607</v>
      </c>
      <c r="F22" s="90">
        <f>'表5 利润与利润分配表'!E19</f>
        <v>5.10003527081912</v>
      </c>
      <c r="G22" s="90">
        <f>'表5 利润与利润分配表'!F19</f>
        <v>6.92761558817849</v>
      </c>
      <c r="H22" s="90">
        <f>'表5 利润与利润分配表'!G19</f>
        <v>8.33916209288198</v>
      </c>
      <c r="I22" s="90">
        <f>'表5 利润与利润分配表'!H19</f>
        <v>9.07062984775194</v>
      </c>
      <c r="J22" s="90">
        <f>'表5 利润与利润分配表'!I19</f>
        <v>9.49191808778334</v>
      </c>
      <c r="K22" s="90">
        <f>'表5 利润与利润分配表'!J19</f>
        <v>9.69586362900423</v>
      </c>
      <c r="L22" s="90">
        <f>'表5 利润与利润分配表'!K19</f>
        <v>13.1527363561769</v>
      </c>
      <c r="M22" s="90">
        <f>'表5 利润与利润分配表'!L19</f>
        <v>16.1235810184883</v>
      </c>
      <c r="N22" s="90">
        <f>'表5 利润与利润分配表'!M19</f>
        <v>18.675859039983</v>
      </c>
      <c r="O22" s="90">
        <f>'表5 利润与利润分配表'!N19</f>
        <v>20.8713021817873</v>
      </c>
      <c r="P22" s="90">
        <f>'表5 利润与利润分配表'!O19</f>
        <v>22.7665402966457</v>
      </c>
      <c r="Q22" s="90">
        <f>'表5 利润与利润分配表'!P19</f>
        <v>24.4136692610896</v>
      </c>
      <c r="R22" s="90">
        <f>'表5 利润与利润分配表'!Q19</f>
        <v>25.8607652266472</v>
      </c>
      <c r="S22" s="90">
        <f>'表5 利润与利润分配表'!R19</f>
        <v>30.5839073824187</v>
      </c>
      <c r="T22" s="90">
        <f>'表5 利润与利润分配表'!S19</f>
        <v>42.9291071306889</v>
      </c>
      <c r="U22" s="90">
        <f>'表5 利润与利润分配表'!T19</f>
        <v>53.5495645246352</v>
      </c>
      <c r="V22" s="90">
        <f>'表5 利润与利润分配表'!U19</f>
        <v>62.61775379969</v>
      </c>
      <c r="W22" s="90">
        <f>'表5 利润与利润分配表'!V19</f>
        <v>70.2889017677424</v>
      </c>
      <c r="X22" s="90">
        <f>'表5 利润与利润分配表'!W19</f>
        <v>76.7027125594926</v>
      </c>
      <c r="Y22" s="90">
        <f>'表5 利润与利润分配表'!X19</f>
        <v>81.9849198925708</v>
      </c>
      <c r="Z22" s="90"/>
      <c r="AA22" s="90"/>
      <c r="AB22" s="90"/>
      <c r="AC22" s="90"/>
    </row>
    <row r="23" s="66" customFormat="1" ht="18.75" customHeight="1" spans="1:29">
      <c r="A23" s="93" t="s">
        <v>324</v>
      </c>
      <c r="B23" s="94"/>
      <c r="C23" s="89"/>
      <c r="D23" s="95">
        <f t="shared" ref="D23:L23" si="48">(D9-D18)/D4</f>
        <v>0.70471625</v>
      </c>
      <c r="E23" s="95">
        <f t="shared" si="48"/>
        <v>0.741108423584534</v>
      </c>
      <c r="F23" s="95">
        <f t="shared" si="48"/>
        <v>0.690985120173498</v>
      </c>
      <c r="G23" s="95">
        <f t="shared" si="48"/>
        <v>0.645064796656821</v>
      </c>
      <c r="H23" s="95">
        <f t="shared" si="48"/>
        <v>0.602215093464277</v>
      </c>
      <c r="I23" s="95">
        <f t="shared" si="48"/>
        <v>0.563481847182214</v>
      </c>
      <c r="J23" s="95">
        <f t="shared" si="48"/>
        <v>0.525891376141086</v>
      </c>
      <c r="K23" s="95">
        <f t="shared" si="48"/>
        <v>0.488296359306301</v>
      </c>
      <c r="L23" s="95">
        <f t="shared" si="48"/>
        <v>0.432042144992682</v>
      </c>
      <c r="M23" s="95">
        <f t="shared" ref="M23:Y23" si="49">(M9-M18)/M4</f>
        <v>0.803535206688397</v>
      </c>
      <c r="N23" s="95">
        <f t="shared" si="49"/>
        <v>0.687599296395895</v>
      </c>
      <c r="O23" s="95">
        <f t="shared" si="49"/>
        <v>0.573664946434316</v>
      </c>
      <c r="P23" s="95">
        <f t="shared" si="49"/>
        <v>0.456135243562529</v>
      </c>
      <c r="Q23" s="95">
        <f t="shared" si="49"/>
        <v>0.328341734055809</v>
      </c>
      <c r="R23" s="95">
        <f t="shared" si="49"/>
        <v>0.18109919710614</v>
      </c>
      <c r="S23" s="95">
        <f t="shared" si="49"/>
        <v>3.68531041169632e-16</v>
      </c>
      <c r="T23" s="95">
        <f t="shared" si="49"/>
        <v>7.01247678823653e-16</v>
      </c>
      <c r="U23" s="95">
        <f t="shared" si="49"/>
        <v>3.85792266468953e-16</v>
      </c>
      <c r="V23" s="95">
        <f t="shared" si="49"/>
        <v>2.68833235916291e-16</v>
      </c>
      <c r="W23" s="95">
        <f t="shared" si="49"/>
        <v>2.07936585326632e-16</v>
      </c>
      <c r="X23" s="95">
        <f t="shared" si="49"/>
        <v>1.70642360336803e-16</v>
      </c>
      <c r="Y23" s="95">
        <f t="shared" si="49"/>
        <v>1.45498323066974e-16</v>
      </c>
      <c r="Z23" s="95"/>
      <c r="AA23" s="95"/>
      <c r="AB23" s="95"/>
      <c r="AC23" s="95"/>
    </row>
    <row r="24" s="66" customFormat="1" ht="18.75" hidden="1" customHeight="1" spans="1:16">
      <c r="A24" s="96"/>
      <c r="B24" s="96"/>
      <c r="C24" s="97"/>
      <c r="D24" s="97"/>
      <c r="E24" s="98">
        <f t="shared" ref="E24:P24" si="50">E4-E9</f>
        <v>-16.7342397628562</v>
      </c>
      <c r="F24" s="98">
        <f t="shared" si="50"/>
        <v>-8.91135945047185</v>
      </c>
      <c r="G24" s="98">
        <f t="shared" si="50"/>
        <v>-1.74125322319708</v>
      </c>
      <c r="H24" s="98">
        <f t="shared" si="50"/>
        <v>4.7709815078469</v>
      </c>
      <c r="I24" s="98">
        <f t="shared" si="50"/>
        <v>10.2642468536225</v>
      </c>
      <c r="J24" s="98">
        <f t="shared" si="50"/>
        <v>15.0513307742273</v>
      </c>
      <c r="K24" s="98">
        <f t="shared" si="50"/>
        <v>19.1770533455061</v>
      </c>
      <c r="L24" s="98">
        <f t="shared" si="50"/>
        <v>26.4479667937673</v>
      </c>
      <c r="M24" s="98">
        <f t="shared" si="50"/>
        <v>-62.9759770776315</v>
      </c>
      <c r="N24" s="98">
        <f t="shared" si="50"/>
        <v>-57.0606029142762</v>
      </c>
      <c r="O24" s="98">
        <f t="shared" si="50"/>
        <v>-51.8338518770123</v>
      </c>
      <c r="P24" s="98">
        <f t="shared" si="50"/>
        <v>-47.3034818787197</v>
      </c>
    </row>
    <row r="25" s="66" customFormat="1" ht="18.75" hidden="1" customHeight="1" spans="1:24">
      <c r="A25" s="99" t="s">
        <v>325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</row>
    <row r="26" s="66" customFormat="1" ht="18.75" hidden="1" customHeight="1" spans="1:25">
      <c r="A26" s="99" t="s">
        <v>326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</row>
    <row r="27" s="66" customFormat="1" ht="18.75" hidden="1" customHeight="1" spans="1:1">
      <c r="A27" s="100"/>
    </row>
    <row r="28" s="66" customFormat="1" ht="18.75" hidden="1" customHeight="1" spans="1:1">
      <c r="A28" s="100"/>
    </row>
    <row r="29" s="66" customFormat="1" ht="18.75" hidden="1" customHeight="1" spans="1:1">
      <c r="A29" s="100"/>
    </row>
    <row r="30" s="66" customFormat="1" ht="18.75" customHeight="1" spans="4:16">
      <c r="D30" s="101">
        <f t="shared" ref="D30:P30" si="51">D9-D4</f>
        <v>0.990412499999991</v>
      </c>
      <c r="E30" s="101">
        <f t="shared" si="51"/>
        <v>16.7342397628562</v>
      </c>
      <c r="F30" s="101">
        <f t="shared" si="51"/>
        <v>8.91135945047185</v>
      </c>
      <c r="G30" s="101">
        <f t="shared" si="51"/>
        <v>1.74125322319708</v>
      </c>
      <c r="H30" s="101">
        <f t="shared" si="51"/>
        <v>-4.7709815078469</v>
      </c>
      <c r="I30" s="101">
        <f t="shared" si="51"/>
        <v>-10.2642468536225</v>
      </c>
      <c r="J30" s="101">
        <f t="shared" si="51"/>
        <v>-15.0513307742273</v>
      </c>
      <c r="K30" s="101">
        <f t="shared" si="51"/>
        <v>-19.1770533455061</v>
      </c>
      <c r="L30" s="101">
        <f t="shared" si="51"/>
        <v>-26.4479667937673</v>
      </c>
      <c r="M30" s="101">
        <f t="shared" si="51"/>
        <v>62.9759770776315</v>
      </c>
      <c r="N30" s="101">
        <f t="shared" si="51"/>
        <v>57.0606029142762</v>
      </c>
      <c r="O30" s="101">
        <f t="shared" si="51"/>
        <v>51.8338518770123</v>
      </c>
      <c r="P30" s="101">
        <f t="shared" si="51"/>
        <v>47.3034818787197</v>
      </c>
    </row>
    <row r="31" s="66" customFormat="1" ht="18.75" customHeight="1" spans="1:16">
      <c r="A31" s="17" t="s">
        <v>3</v>
      </c>
      <c r="B31" s="18" t="s">
        <v>4</v>
      </c>
      <c r="C31" s="18" t="s">
        <v>102</v>
      </c>
      <c r="D31" s="18" t="s">
        <v>170</v>
      </c>
      <c r="E31" s="18" t="s">
        <v>171</v>
      </c>
      <c r="F31" s="18" t="s">
        <v>172</v>
      </c>
      <c r="G31" s="18" t="s">
        <v>173</v>
      </c>
      <c r="H31" s="18" t="s">
        <v>174</v>
      </c>
      <c r="I31" s="18" t="s">
        <v>175</v>
      </c>
      <c r="J31" s="18" t="s">
        <v>176</v>
      </c>
      <c r="K31" s="18" t="s">
        <v>177</v>
      </c>
      <c r="L31" s="18" t="s">
        <v>178</v>
      </c>
      <c r="M31" s="18"/>
      <c r="N31" s="18"/>
      <c r="O31" s="18"/>
      <c r="P31" s="102"/>
    </row>
    <row r="32" s="66" customFormat="1" ht="18.75" customHeight="1" spans="1:16">
      <c r="A32" s="88">
        <v>1</v>
      </c>
      <c r="B32" s="24" t="s">
        <v>300</v>
      </c>
      <c r="C32" s="91"/>
      <c r="D32" s="90">
        <f>Q4</f>
        <v>82.4286495344317</v>
      </c>
      <c r="E32" s="90">
        <f t="shared" ref="E32:L47" si="52">R4</f>
        <v>76.6845470781142</v>
      </c>
      <c r="F32" s="90">
        <f t="shared" si="52"/>
        <v>77.1216159708015</v>
      </c>
      <c r="G32" s="90">
        <f t="shared" si="52"/>
        <v>40.5302010811381</v>
      </c>
      <c r="H32" s="90">
        <f t="shared" si="52"/>
        <v>73.6710190967274</v>
      </c>
      <c r="I32" s="90">
        <f t="shared" si="52"/>
        <v>105.722454046768</v>
      </c>
      <c r="J32" s="90">
        <f t="shared" si="52"/>
        <v>136.68450593126</v>
      </c>
      <c r="K32" s="90">
        <f t="shared" si="52"/>
        <v>166.557174750203</v>
      </c>
      <c r="L32" s="90">
        <f t="shared" si="52"/>
        <v>195.340460503598</v>
      </c>
      <c r="M32" s="90"/>
      <c r="N32" s="90"/>
      <c r="O32" s="90"/>
      <c r="P32" s="105"/>
    </row>
    <row r="33" s="66" customFormat="1" ht="18.75" customHeight="1" spans="1:16">
      <c r="A33" s="88">
        <v>1.1</v>
      </c>
      <c r="B33" s="24" t="s">
        <v>301</v>
      </c>
      <c r="C33" s="91"/>
      <c r="D33" s="90">
        <f t="shared" ref="D33:D51" si="53">Q5</f>
        <v>26.0949442362424</v>
      </c>
      <c r="E33" s="90">
        <f t="shared" si="52"/>
        <v>29.2075832735704</v>
      </c>
      <c r="F33" s="90">
        <f t="shared" si="52"/>
        <v>35.4108079854007</v>
      </c>
      <c r="G33" s="90">
        <f t="shared" si="52"/>
        <v>17.115100540569</v>
      </c>
      <c r="H33" s="90">
        <f t="shared" si="52"/>
        <v>33.6855095483637</v>
      </c>
      <c r="I33" s="90">
        <f t="shared" si="52"/>
        <v>49.711227023384</v>
      </c>
      <c r="J33" s="90">
        <f t="shared" si="52"/>
        <v>65.19225296563</v>
      </c>
      <c r="K33" s="90">
        <f t="shared" si="52"/>
        <v>80.1285873751016</v>
      </c>
      <c r="L33" s="90">
        <f t="shared" si="52"/>
        <v>94.5202302517988</v>
      </c>
      <c r="M33" s="90"/>
      <c r="N33" s="90"/>
      <c r="O33" s="90"/>
      <c r="P33" s="105"/>
    </row>
    <row r="34" s="66" customFormat="1" ht="18.75" customHeight="1" spans="1:16">
      <c r="A34" s="88" t="s">
        <v>194</v>
      </c>
      <c r="B34" s="24" t="s">
        <v>302</v>
      </c>
      <c r="C34" s="91"/>
      <c r="D34" s="90">
        <f t="shared" si="53"/>
        <v>26.0949442362424</v>
      </c>
      <c r="E34" s="90">
        <f t="shared" si="52"/>
        <v>29.2075832735704</v>
      </c>
      <c r="F34" s="90">
        <f t="shared" si="52"/>
        <v>35.4108079854007</v>
      </c>
      <c r="G34" s="90">
        <f t="shared" si="52"/>
        <v>17.115100540569</v>
      </c>
      <c r="H34" s="90">
        <f t="shared" si="52"/>
        <v>33.6855095483637</v>
      </c>
      <c r="I34" s="90">
        <f t="shared" si="52"/>
        <v>49.711227023384</v>
      </c>
      <c r="J34" s="90">
        <f t="shared" si="52"/>
        <v>65.19225296563</v>
      </c>
      <c r="K34" s="90">
        <f t="shared" si="52"/>
        <v>80.1285873751016</v>
      </c>
      <c r="L34" s="90">
        <f t="shared" si="52"/>
        <v>94.5202302517988</v>
      </c>
      <c r="M34" s="90"/>
      <c r="N34" s="90"/>
      <c r="O34" s="90"/>
      <c r="P34" s="89"/>
    </row>
    <row r="35" s="66" customFormat="1" ht="18.75" customHeight="1" spans="1:16">
      <c r="A35" s="88">
        <v>1.2</v>
      </c>
      <c r="B35" s="24" t="s">
        <v>303</v>
      </c>
      <c r="C35" s="91"/>
      <c r="D35" s="90">
        <f t="shared" si="53"/>
        <v>0</v>
      </c>
      <c r="E35" s="90">
        <f t="shared" si="52"/>
        <v>0</v>
      </c>
      <c r="F35" s="90">
        <f t="shared" si="52"/>
        <v>0</v>
      </c>
      <c r="G35" s="90">
        <f t="shared" si="52"/>
        <v>0</v>
      </c>
      <c r="H35" s="90">
        <f t="shared" si="52"/>
        <v>0</v>
      </c>
      <c r="I35" s="90">
        <f t="shared" si="52"/>
        <v>0</v>
      </c>
      <c r="J35" s="90">
        <f t="shared" si="52"/>
        <v>0</v>
      </c>
      <c r="K35" s="90">
        <f t="shared" si="52"/>
        <v>0</v>
      </c>
      <c r="L35" s="90">
        <f t="shared" si="52"/>
        <v>0</v>
      </c>
      <c r="M35" s="90"/>
      <c r="N35" s="90"/>
      <c r="O35" s="90"/>
      <c r="P35" s="106"/>
    </row>
    <row r="36" s="66" customFormat="1" ht="18.75" customHeight="1" spans="1:16">
      <c r="A36" s="88">
        <v>1.3</v>
      </c>
      <c r="B36" s="24" t="s">
        <v>304</v>
      </c>
      <c r="C36" s="91"/>
      <c r="D36" s="90">
        <f t="shared" si="53"/>
        <v>30.2387610619469</v>
      </c>
      <c r="E36" s="90">
        <f t="shared" si="52"/>
        <v>18.2693805309735</v>
      </c>
      <c r="F36" s="90">
        <f t="shared" si="52"/>
        <v>6.30000000000004</v>
      </c>
      <c r="G36" s="90">
        <f t="shared" si="52"/>
        <v>6.30000000000004</v>
      </c>
      <c r="H36" s="90">
        <f t="shared" si="52"/>
        <v>6.30000000000004</v>
      </c>
      <c r="I36" s="90">
        <f t="shared" si="52"/>
        <v>6.30000000000004</v>
      </c>
      <c r="J36" s="90">
        <f t="shared" si="52"/>
        <v>6.30000000000004</v>
      </c>
      <c r="K36" s="90">
        <f t="shared" si="52"/>
        <v>6.30000000000004</v>
      </c>
      <c r="L36" s="90">
        <f t="shared" si="52"/>
        <v>6.30000000000004</v>
      </c>
      <c r="M36" s="90"/>
      <c r="N36" s="90"/>
      <c r="O36" s="90"/>
      <c r="P36" s="107"/>
    </row>
    <row r="37" s="66" customFormat="1" ht="18.75" customHeight="1" spans="1:16">
      <c r="A37" s="88">
        <v>2</v>
      </c>
      <c r="B37" s="92" t="s">
        <v>305</v>
      </c>
      <c r="C37" s="91"/>
      <c r="D37" s="90">
        <f t="shared" si="53"/>
        <v>125.906318518214</v>
      </c>
      <c r="E37" s="90">
        <f t="shared" si="52"/>
        <v>117.049577024568</v>
      </c>
      <c r="F37" s="90">
        <f t="shared" si="52"/>
        <v>111.283421205425</v>
      </c>
      <c r="G37" s="90">
        <f t="shared" si="52"/>
        <v>128.398521745994</v>
      </c>
      <c r="H37" s="90">
        <f t="shared" si="52"/>
        <v>122.499516138484</v>
      </c>
      <c r="I37" s="90">
        <f t="shared" si="52"/>
        <v>138.525233613504</v>
      </c>
      <c r="J37" s="90">
        <f t="shared" si="52"/>
        <v>154.00625955575</v>
      </c>
      <c r="K37" s="90">
        <f t="shared" si="52"/>
        <v>168.942593965222</v>
      </c>
      <c r="L37" s="90">
        <f t="shared" si="52"/>
        <v>183.334236841919</v>
      </c>
      <c r="M37" s="90"/>
      <c r="N37" s="90"/>
      <c r="O37" s="90"/>
      <c r="P37" s="106"/>
    </row>
    <row r="38" s="66" customFormat="1" ht="18.75" customHeight="1" spans="1:16">
      <c r="A38" s="88">
        <v>2.1</v>
      </c>
      <c r="B38" s="24" t="s">
        <v>306</v>
      </c>
      <c r="C38" s="91"/>
      <c r="D38" s="90">
        <f t="shared" si="53"/>
        <v>0</v>
      </c>
      <c r="E38" s="90">
        <f t="shared" si="52"/>
        <v>0</v>
      </c>
      <c r="F38" s="90">
        <f t="shared" si="52"/>
        <v>0</v>
      </c>
      <c r="G38" s="90">
        <f t="shared" si="52"/>
        <v>0</v>
      </c>
      <c r="H38" s="90">
        <f t="shared" si="52"/>
        <v>0</v>
      </c>
      <c r="I38" s="90">
        <f t="shared" si="52"/>
        <v>0</v>
      </c>
      <c r="J38" s="90">
        <f t="shared" si="52"/>
        <v>0</v>
      </c>
      <c r="K38" s="90">
        <f t="shared" si="52"/>
        <v>0</v>
      </c>
      <c r="L38" s="90">
        <f t="shared" si="52"/>
        <v>0</v>
      </c>
      <c r="M38" s="90"/>
      <c r="N38" s="90"/>
      <c r="O38" s="90"/>
      <c r="P38" s="106"/>
    </row>
    <row r="39" s="66" customFormat="1" ht="18.75" customHeight="1" spans="1:16">
      <c r="A39" s="88" t="s">
        <v>307</v>
      </c>
      <c r="B39" s="24" t="s">
        <v>308</v>
      </c>
      <c r="C39" s="91"/>
      <c r="D39" s="90">
        <f t="shared" si="53"/>
        <v>0</v>
      </c>
      <c r="E39" s="90">
        <f t="shared" si="52"/>
        <v>0</v>
      </c>
      <c r="F39" s="90">
        <f t="shared" si="52"/>
        <v>0</v>
      </c>
      <c r="G39" s="90">
        <f t="shared" si="52"/>
        <v>0</v>
      </c>
      <c r="H39" s="90">
        <f t="shared" si="52"/>
        <v>0</v>
      </c>
      <c r="I39" s="90">
        <f t="shared" si="52"/>
        <v>0</v>
      </c>
      <c r="J39" s="90">
        <f t="shared" si="52"/>
        <v>0</v>
      </c>
      <c r="K39" s="90">
        <f t="shared" si="52"/>
        <v>0</v>
      </c>
      <c r="L39" s="90">
        <f t="shared" si="52"/>
        <v>0</v>
      </c>
      <c r="M39" s="90"/>
      <c r="N39" s="90"/>
      <c r="O39" s="90"/>
      <c r="P39" s="106"/>
    </row>
    <row r="40" s="66" customFormat="1" ht="18.75" customHeight="1" spans="1:16">
      <c r="A40" s="88" t="s">
        <v>309</v>
      </c>
      <c r="B40" s="24" t="s">
        <v>310</v>
      </c>
      <c r="C40" s="91"/>
      <c r="D40" s="90">
        <f t="shared" si="53"/>
        <v>0</v>
      </c>
      <c r="E40" s="90">
        <f t="shared" si="52"/>
        <v>0</v>
      </c>
      <c r="F40" s="90">
        <f t="shared" si="52"/>
        <v>0</v>
      </c>
      <c r="G40" s="90">
        <f t="shared" si="52"/>
        <v>0</v>
      </c>
      <c r="H40" s="90">
        <f t="shared" si="52"/>
        <v>0</v>
      </c>
      <c r="I40" s="90">
        <f t="shared" si="52"/>
        <v>0</v>
      </c>
      <c r="J40" s="90">
        <f t="shared" si="52"/>
        <v>0</v>
      </c>
      <c r="K40" s="90">
        <f t="shared" si="52"/>
        <v>0</v>
      </c>
      <c r="L40" s="90">
        <f t="shared" si="52"/>
        <v>0</v>
      </c>
      <c r="M40" s="90"/>
      <c r="N40" s="90"/>
      <c r="O40" s="90"/>
      <c r="P40" s="106"/>
    </row>
    <row r="41" s="66" customFormat="1" ht="18.75" customHeight="1" spans="1:16">
      <c r="A41" s="88" t="s">
        <v>311</v>
      </c>
      <c r="B41" s="24" t="s">
        <v>312</v>
      </c>
      <c r="C41" s="91"/>
      <c r="D41" s="90">
        <f t="shared" si="53"/>
        <v>0</v>
      </c>
      <c r="E41" s="90">
        <f t="shared" si="52"/>
        <v>0</v>
      </c>
      <c r="F41" s="90">
        <f t="shared" si="52"/>
        <v>0</v>
      </c>
      <c r="G41" s="90">
        <f t="shared" si="52"/>
        <v>0</v>
      </c>
      <c r="H41" s="90">
        <f t="shared" si="52"/>
        <v>0</v>
      </c>
      <c r="I41" s="90">
        <f t="shared" si="52"/>
        <v>0</v>
      </c>
      <c r="J41" s="90">
        <f t="shared" si="52"/>
        <v>0</v>
      </c>
      <c r="K41" s="90">
        <f t="shared" si="52"/>
        <v>0</v>
      </c>
      <c r="L41" s="90">
        <f t="shared" si="52"/>
        <v>0</v>
      </c>
      <c r="M41" s="90"/>
      <c r="N41" s="90"/>
      <c r="O41" s="90"/>
      <c r="P41" s="106"/>
    </row>
    <row r="42" s="66" customFormat="1" ht="18.75" customHeight="1" spans="1:16">
      <c r="A42" s="88" t="s">
        <v>313</v>
      </c>
      <c r="B42" s="24" t="s">
        <v>133</v>
      </c>
      <c r="C42" s="91"/>
      <c r="D42" s="90">
        <f t="shared" si="53"/>
        <v>0</v>
      </c>
      <c r="E42" s="90">
        <f t="shared" si="52"/>
        <v>0</v>
      </c>
      <c r="F42" s="90">
        <f t="shared" si="52"/>
        <v>0</v>
      </c>
      <c r="G42" s="90">
        <f t="shared" si="52"/>
        <v>0</v>
      </c>
      <c r="H42" s="90">
        <f t="shared" si="52"/>
        <v>0</v>
      </c>
      <c r="I42" s="90">
        <f t="shared" si="52"/>
        <v>0</v>
      </c>
      <c r="J42" s="90">
        <f t="shared" si="52"/>
        <v>0</v>
      </c>
      <c r="K42" s="90">
        <f t="shared" si="52"/>
        <v>0</v>
      </c>
      <c r="L42" s="90">
        <f t="shared" si="52"/>
        <v>0</v>
      </c>
      <c r="M42" s="90"/>
      <c r="N42" s="90"/>
      <c r="O42" s="90"/>
      <c r="P42" s="105"/>
    </row>
    <row r="43" s="66" customFormat="1" ht="18.75" customHeight="1" spans="1:16">
      <c r="A43" s="88">
        <v>2.2</v>
      </c>
      <c r="B43" s="24" t="s">
        <v>314</v>
      </c>
      <c r="C43" s="91"/>
      <c r="D43" s="90">
        <f t="shared" si="53"/>
        <v>0</v>
      </c>
      <c r="E43" s="90">
        <f t="shared" si="52"/>
        <v>0</v>
      </c>
      <c r="F43" s="90">
        <f t="shared" si="52"/>
        <v>0</v>
      </c>
      <c r="G43" s="90">
        <f t="shared" si="52"/>
        <v>0</v>
      </c>
      <c r="H43" s="90">
        <f t="shared" si="52"/>
        <v>0</v>
      </c>
      <c r="I43" s="90">
        <f t="shared" si="52"/>
        <v>0</v>
      </c>
      <c r="J43" s="90">
        <f t="shared" si="52"/>
        <v>0</v>
      </c>
      <c r="K43" s="90">
        <f t="shared" si="52"/>
        <v>0</v>
      </c>
      <c r="L43" s="90">
        <f t="shared" si="52"/>
        <v>0</v>
      </c>
      <c r="M43" s="90"/>
      <c r="N43" s="90"/>
      <c r="O43" s="90"/>
      <c r="P43" s="106"/>
    </row>
    <row r="44" s="66" customFormat="1" ht="18.75" customHeight="1" spans="1:16">
      <c r="A44" s="88">
        <v>2.3</v>
      </c>
      <c r="B44" s="24" t="s">
        <v>58</v>
      </c>
      <c r="C44" s="91"/>
      <c r="D44" s="90">
        <f t="shared" si="53"/>
        <v>27.0647657240139</v>
      </c>
      <c r="E44" s="90">
        <f t="shared" si="52"/>
        <v>13.8875099062945</v>
      </c>
      <c r="F44" s="90">
        <f t="shared" si="52"/>
        <v>3.23074900165921e-14</v>
      </c>
      <c r="G44" s="90">
        <f t="shared" si="52"/>
        <v>3.23074900165921e-14</v>
      </c>
      <c r="H44" s="90">
        <f t="shared" si="52"/>
        <v>3.23074900165921e-14</v>
      </c>
      <c r="I44" s="90">
        <f t="shared" si="52"/>
        <v>3.23074900165921e-14</v>
      </c>
      <c r="J44" s="90">
        <f t="shared" si="52"/>
        <v>3.23074900165921e-14</v>
      </c>
      <c r="K44" s="90">
        <f t="shared" si="52"/>
        <v>3.23074900165921e-14</v>
      </c>
      <c r="L44" s="90">
        <f t="shared" si="52"/>
        <v>3.23074900165921e-14</v>
      </c>
      <c r="M44" s="90"/>
      <c r="N44" s="90"/>
      <c r="O44" s="90"/>
      <c r="P44" s="105"/>
    </row>
    <row r="45" s="66" customFormat="1" ht="18.75" customHeight="1" spans="1:16">
      <c r="A45" s="88">
        <v>2.4</v>
      </c>
      <c r="B45" s="24" t="s">
        <v>315</v>
      </c>
      <c r="C45" s="91"/>
      <c r="D45" s="90">
        <f t="shared" si="53"/>
        <v>27.0647657240139</v>
      </c>
      <c r="E45" s="90">
        <f t="shared" si="52"/>
        <v>13.8875099062945</v>
      </c>
      <c r="F45" s="90">
        <f t="shared" si="52"/>
        <v>3.23074900165921e-14</v>
      </c>
      <c r="G45" s="90">
        <f t="shared" si="52"/>
        <v>3.23074900165921e-14</v>
      </c>
      <c r="H45" s="90">
        <f t="shared" si="52"/>
        <v>3.23074900165921e-14</v>
      </c>
      <c r="I45" s="90">
        <f t="shared" si="52"/>
        <v>3.23074900165921e-14</v>
      </c>
      <c r="J45" s="90">
        <f t="shared" si="52"/>
        <v>3.23074900165921e-14</v>
      </c>
      <c r="K45" s="90">
        <f t="shared" si="52"/>
        <v>3.23074900165921e-14</v>
      </c>
      <c r="L45" s="90">
        <f t="shared" si="52"/>
        <v>3.23074900165921e-14</v>
      </c>
      <c r="M45" s="90"/>
      <c r="N45" s="90"/>
      <c r="O45" s="90"/>
      <c r="P45" s="105"/>
    </row>
    <row r="46" s="66" customFormat="1" ht="18.75" customHeight="1" spans="1:16">
      <c r="A46" s="88">
        <v>2.5</v>
      </c>
      <c r="B46" s="24" t="s">
        <v>316</v>
      </c>
      <c r="C46" s="91"/>
      <c r="D46" s="90">
        <f t="shared" si="53"/>
        <v>98.8415527942001</v>
      </c>
      <c r="E46" s="90">
        <f t="shared" si="52"/>
        <v>103.162067118274</v>
      </c>
      <c r="F46" s="90">
        <f t="shared" si="52"/>
        <v>111.283421205425</v>
      </c>
      <c r="G46" s="90">
        <f t="shared" si="52"/>
        <v>128.398521745994</v>
      </c>
      <c r="H46" s="90">
        <f t="shared" si="52"/>
        <v>122.499516138484</v>
      </c>
      <c r="I46" s="90">
        <f t="shared" si="52"/>
        <v>138.525233613504</v>
      </c>
      <c r="J46" s="90">
        <f t="shared" si="52"/>
        <v>154.00625955575</v>
      </c>
      <c r="K46" s="90">
        <f t="shared" si="52"/>
        <v>168.942593965221</v>
      </c>
      <c r="L46" s="90">
        <f t="shared" si="52"/>
        <v>183.334236841919</v>
      </c>
      <c r="M46" s="90"/>
      <c r="N46" s="90"/>
      <c r="O46" s="90"/>
      <c r="P46" s="106"/>
    </row>
    <row r="47" s="66" customFormat="1" ht="18.75" customHeight="1" spans="1:16">
      <c r="A47" s="88" t="s">
        <v>317</v>
      </c>
      <c r="B47" s="24" t="s">
        <v>318</v>
      </c>
      <c r="C47" s="91"/>
      <c r="D47" s="90">
        <f t="shared" si="53"/>
        <v>63</v>
      </c>
      <c r="E47" s="90">
        <f t="shared" si="52"/>
        <v>63</v>
      </c>
      <c r="F47" s="90">
        <f t="shared" si="52"/>
        <v>63</v>
      </c>
      <c r="G47" s="90">
        <f t="shared" si="52"/>
        <v>63</v>
      </c>
      <c r="H47" s="90">
        <f t="shared" si="52"/>
        <v>63</v>
      </c>
      <c r="I47" s="90">
        <f t="shared" si="52"/>
        <v>63</v>
      </c>
      <c r="J47" s="90">
        <f t="shared" si="52"/>
        <v>63</v>
      </c>
      <c r="K47" s="90">
        <f t="shared" si="52"/>
        <v>63</v>
      </c>
      <c r="L47" s="90">
        <f t="shared" si="52"/>
        <v>63</v>
      </c>
      <c r="M47" s="90"/>
      <c r="N47" s="90"/>
      <c r="O47" s="90"/>
      <c r="P47" s="106"/>
    </row>
    <row r="48" s="66" customFormat="1" ht="18.75" customHeight="1" spans="1:16">
      <c r="A48" s="88" t="s">
        <v>319</v>
      </c>
      <c r="B48" s="24" t="s">
        <v>320</v>
      </c>
      <c r="C48" s="91"/>
      <c r="D48" s="90">
        <f t="shared" si="53"/>
        <v>11.4278835331104</v>
      </c>
      <c r="E48" s="90">
        <f t="shared" ref="E48:E51" si="54">R20</f>
        <v>14.3013018916268</v>
      </c>
      <c r="F48" s="90">
        <f t="shared" ref="F48:F51" si="55">S20</f>
        <v>17.6995138230066</v>
      </c>
      <c r="G48" s="90">
        <f t="shared" ref="G48:G51" si="56">T20</f>
        <v>22.4694146153054</v>
      </c>
      <c r="H48" s="90">
        <f t="shared" ref="H48:H51" si="57">U20</f>
        <v>5.94995161384836</v>
      </c>
      <c r="I48" s="90">
        <f t="shared" ref="I48:I51" si="58">V20</f>
        <v>12.9074798138139</v>
      </c>
      <c r="J48" s="90">
        <f t="shared" ref="J48:J51" si="59">W20</f>
        <v>20.7173577880075</v>
      </c>
      <c r="K48" s="90">
        <f t="shared" ref="K48:K51" si="60">X20</f>
        <v>29.2398814057289</v>
      </c>
      <c r="L48" s="90">
        <f t="shared" ref="L48:L51" si="61">Y20</f>
        <v>38.3493169493479</v>
      </c>
      <c r="M48" s="90"/>
      <c r="N48" s="90"/>
      <c r="O48" s="90"/>
      <c r="P48" s="89"/>
    </row>
    <row r="49" s="66" customFormat="1" ht="18.75" customHeight="1" spans="1:16">
      <c r="A49" s="88" t="s">
        <v>321</v>
      </c>
      <c r="B49" s="24" t="s">
        <v>322</v>
      </c>
      <c r="C49" s="91"/>
      <c r="D49" s="90">
        <f t="shared" si="53"/>
        <v>0</v>
      </c>
      <c r="E49" s="90">
        <f t="shared" si="54"/>
        <v>0</v>
      </c>
      <c r="F49" s="90">
        <f t="shared" si="55"/>
        <v>0</v>
      </c>
      <c r="G49" s="90">
        <f t="shared" si="56"/>
        <v>0</v>
      </c>
      <c r="H49" s="90">
        <f t="shared" si="57"/>
        <v>0</v>
      </c>
      <c r="I49" s="90">
        <f t="shared" si="58"/>
        <v>0</v>
      </c>
      <c r="J49" s="90">
        <f t="shared" si="59"/>
        <v>0</v>
      </c>
      <c r="K49" s="90">
        <f t="shared" si="60"/>
        <v>0</v>
      </c>
      <c r="L49" s="90">
        <f t="shared" si="61"/>
        <v>0</v>
      </c>
      <c r="M49" s="90"/>
      <c r="N49" s="90"/>
      <c r="O49" s="90"/>
      <c r="P49" s="105"/>
    </row>
    <row r="50" s="66" customFormat="1" ht="18.75" customHeight="1" spans="1:16">
      <c r="A50" s="88" t="s">
        <v>323</v>
      </c>
      <c r="B50" s="24" t="s">
        <v>255</v>
      </c>
      <c r="C50" s="91"/>
      <c r="D50" s="90">
        <f t="shared" si="53"/>
        <v>24.4136692610896</v>
      </c>
      <c r="E50" s="90">
        <f t="shared" si="54"/>
        <v>25.8607652266472</v>
      </c>
      <c r="F50" s="90">
        <f t="shared" si="55"/>
        <v>30.5839073824187</v>
      </c>
      <c r="G50" s="90">
        <f t="shared" si="56"/>
        <v>42.9291071306889</v>
      </c>
      <c r="H50" s="90">
        <f t="shared" si="57"/>
        <v>53.5495645246352</v>
      </c>
      <c r="I50" s="90">
        <f t="shared" si="58"/>
        <v>62.61775379969</v>
      </c>
      <c r="J50" s="90">
        <f t="shared" si="59"/>
        <v>70.2889017677424</v>
      </c>
      <c r="K50" s="90">
        <f t="shared" si="60"/>
        <v>76.7027125594926</v>
      </c>
      <c r="L50" s="90">
        <f t="shared" si="61"/>
        <v>81.9849198925708</v>
      </c>
      <c r="M50" s="90"/>
      <c r="N50" s="90"/>
      <c r="O50" s="90"/>
      <c r="P50" s="105"/>
    </row>
    <row r="51" s="66" customFormat="1" ht="18.75" customHeight="1" spans="1:16">
      <c r="A51" s="93" t="s">
        <v>324</v>
      </c>
      <c r="B51" s="94"/>
      <c r="C51" s="95"/>
      <c r="D51" s="95">
        <f t="shared" si="53"/>
        <v>0.328341734055809</v>
      </c>
      <c r="E51" s="95">
        <f t="shared" si="54"/>
        <v>0.18109919710614</v>
      </c>
      <c r="F51" s="95">
        <f t="shared" si="55"/>
        <v>3.68531041169632e-16</v>
      </c>
      <c r="G51" s="95">
        <f t="shared" si="56"/>
        <v>7.01247678823653e-16</v>
      </c>
      <c r="H51" s="95">
        <f t="shared" si="57"/>
        <v>3.85792266468953e-16</v>
      </c>
      <c r="I51" s="95">
        <f t="shared" si="58"/>
        <v>2.68833235916291e-16</v>
      </c>
      <c r="J51" s="95">
        <f t="shared" si="59"/>
        <v>2.07936585326632e-16</v>
      </c>
      <c r="K51" s="95">
        <f t="shared" si="60"/>
        <v>1.70642360336803e-16</v>
      </c>
      <c r="L51" s="95">
        <f t="shared" si="61"/>
        <v>1.45498323066974e-16</v>
      </c>
      <c r="M51" s="95"/>
      <c r="N51" s="95"/>
      <c r="O51" s="95"/>
      <c r="P51" s="108"/>
    </row>
    <row r="52" s="66" customFormat="1" ht="18.75" customHeight="1" spans="1:16">
      <c r="A52" s="96"/>
      <c r="B52" s="96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="66" customFormat="1" ht="18.75" customHeight="1" spans="1:24">
      <c r="A53" s="66" t="s">
        <v>325</v>
      </c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</row>
    <row r="54" s="66" customFormat="1" ht="18.75" customHeight="1" spans="1:25">
      <c r="A54" s="99" t="s">
        <v>326</v>
      </c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="66" customFormat="1" ht="18.75" customHeight="1" spans="1:1">
      <c r="A55" s="100"/>
    </row>
    <row r="56" s="66" customFormat="1" ht="18.75" customHeight="1" spans="1:1">
      <c r="A56" s="100"/>
    </row>
    <row r="57" s="66" customFormat="1" ht="18.75" customHeight="1" spans="1:1">
      <c r="A57" s="100"/>
    </row>
    <row r="58" spans="4:16">
      <c r="D58" s="101">
        <f t="shared" ref="D58:P58" si="62">D42-D32</f>
        <v>-82.4286495344317</v>
      </c>
      <c r="E58" s="101">
        <f t="shared" si="62"/>
        <v>-76.6845470781142</v>
      </c>
      <c r="F58" s="101">
        <f t="shared" si="62"/>
        <v>-77.1216159708015</v>
      </c>
      <c r="G58" s="101">
        <f t="shared" si="62"/>
        <v>-40.5302010811381</v>
      </c>
      <c r="H58" s="101">
        <f t="shared" si="62"/>
        <v>-73.6710190967274</v>
      </c>
      <c r="I58" s="101">
        <f t="shared" si="62"/>
        <v>-105.722454046768</v>
      </c>
      <c r="J58" s="101">
        <f t="shared" si="62"/>
        <v>-136.68450593126</v>
      </c>
      <c r="K58" s="101">
        <f t="shared" si="62"/>
        <v>-166.557174750203</v>
      </c>
      <c r="L58" s="101">
        <f t="shared" si="62"/>
        <v>-195.340460503598</v>
      </c>
      <c r="M58" s="101">
        <f t="shared" si="62"/>
        <v>0</v>
      </c>
      <c r="N58" s="101">
        <f t="shared" si="62"/>
        <v>0</v>
      </c>
      <c r="O58" s="101">
        <f t="shared" si="62"/>
        <v>0</v>
      </c>
      <c r="P58" s="101">
        <f t="shared" si="62"/>
        <v>0</v>
      </c>
    </row>
    <row r="64" spans="8:14">
      <c r="H64" s="10"/>
      <c r="I64" s="10"/>
      <c r="J64" s="10"/>
      <c r="K64" s="10"/>
      <c r="L64" s="10"/>
      <c r="M64" s="10"/>
      <c r="N64" s="10"/>
    </row>
    <row r="65" spans="8:14">
      <c r="H65" s="10"/>
      <c r="I65" s="10"/>
      <c r="J65" s="10"/>
      <c r="K65" s="10"/>
      <c r="L65" s="10"/>
      <c r="M65" s="10"/>
      <c r="N65" s="10"/>
    </row>
    <row r="66" spans="8:14">
      <c r="H66" s="10"/>
      <c r="I66" s="10"/>
      <c r="J66" s="10"/>
      <c r="K66" s="10"/>
      <c r="L66" s="10"/>
      <c r="M66" s="10"/>
      <c r="N66" s="10"/>
    </row>
    <row r="67" spans="8:14">
      <c r="H67" s="10"/>
      <c r="I67" s="10"/>
      <c r="J67" s="10"/>
      <c r="K67" s="10"/>
      <c r="L67" s="10"/>
      <c r="M67" s="10"/>
      <c r="N67" s="10"/>
    </row>
    <row r="68" spans="8:14">
      <c r="H68" s="10"/>
      <c r="I68" s="10"/>
      <c r="J68" s="10"/>
      <c r="K68" s="10"/>
      <c r="L68" s="10"/>
      <c r="M68" s="10"/>
      <c r="N68" s="10"/>
    </row>
    <row r="69" spans="8:14">
      <c r="H69" s="10"/>
      <c r="I69" s="10"/>
      <c r="J69" s="10"/>
      <c r="K69" s="10"/>
      <c r="L69" s="10"/>
      <c r="M69" s="10"/>
      <c r="N69" s="10"/>
    </row>
    <row r="70" spans="8:14">
      <c r="H70" s="10"/>
      <c r="I70" s="10"/>
      <c r="J70" s="10"/>
      <c r="K70" s="10"/>
      <c r="L70" s="10"/>
      <c r="M70" s="10"/>
      <c r="N70" s="10"/>
    </row>
    <row r="71" spans="8:14">
      <c r="H71" s="10"/>
      <c r="I71" s="10"/>
      <c r="J71" s="10"/>
      <c r="K71" s="10"/>
      <c r="L71" s="10"/>
      <c r="M71" s="10"/>
      <c r="N71" s="10"/>
    </row>
    <row r="72" spans="8:14">
      <c r="H72" s="10"/>
      <c r="I72" s="10"/>
      <c r="J72" s="10"/>
      <c r="K72" s="10"/>
      <c r="L72" s="10"/>
      <c r="M72" s="10"/>
      <c r="N72" s="10"/>
    </row>
    <row r="73" spans="8:14">
      <c r="H73" s="10"/>
      <c r="I73" s="10"/>
      <c r="J73" s="10"/>
      <c r="K73" s="10"/>
      <c r="L73" s="10"/>
      <c r="M73" s="10"/>
      <c r="N73" s="10"/>
    </row>
    <row r="74" spans="8:14">
      <c r="H74" s="10"/>
      <c r="I74" s="10"/>
      <c r="J74" s="10"/>
      <c r="K74" s="10"/>
      <c r="L74" s="10"/>
      <c r="M74" s="10"/>
      <c r="N74" s="10"/>
    </row>
    <row r="75" spans="8:14">
      <c r="H75" s="10"/>
      <c r="I75" s="10"/>
      <c r="J75" s="10"/>
      <c r="K75" s="10"/>
      <c r="L75" s="10"/>
      <c r="M75" s="10"/>
      <c r="N75" s="10"/>
    </row>
    <row r="76" spans="8:14">
      <c r="H76" s="10"/>
      <c r="I76" s="10"/>
      <c r="J76" s="10"/>
      <c r="K76" s="10"/>
      <c r="L76" s="10"/>
      <c r="M76" s="10"/>
      <c r="N76" s="10"/>
    </row>
    <row r="77" spans="8:14">
      <c r="H77" s="11"/>
      <c r="I77" s="12"/>
      <c r="J77" s="12"/>
      <c r="K77" s="12"/>
      <c r="L77" s="12"/>
      <c r="M77" s="12"/>
      <c r="N77" s="12"/>
    </row>
    <row r="78" spans="8:14">
      <c r="H78" s="12"/>
      <c r="I78" s="12"/>
      <c r="J78" s="12"/>
      <c r="K78" s="12"/>
      <c r="L78" s="12"/>
      <c r="M78" s="12"/>
      <c r="N78" s="12"/>
    </row>
    <row r="79" spans="8:14">
      <c r="H79" s="12"/>
      <c r="I79" s="12"/>
      <c r="J79" s="12"/>
      <c r="K79" s="12"/>
      <c r="L79" s="12"/>
      <c r="M79" s="12"/>
      <c r="N79" s="12"/>
    </row>
  </sheetData>
  <sheetProtection selectLockedCells="1" autoFilter="0"/>
  <mergeCells count="15">
    <mergeCell ref="A1:P1"/>
    <mergeCell ref="A2:P2"/>
    <mergeCell ref="A23:B23"/>
    <mergeCell ref="A25:L25"/>
    <mergeCell ref="A26:L26"/>
    <mergeCell ref="A27:Y27"/>
    <mergeCell ref="A28:Y28"/>
    <mergeCell ref="A29:Y29"/>
    <mergeCell ref="A51:B51"/>
    <mergeCell ref="A54:L54"/>
    <mergeCell ref="A55:Y55"/>
    <mergeCell ref="A56:Y56"/>
    <mergeCell ref="A57:Y57"/>
    <mergeCell ref="H64:N76"/>
    <mergeCell ref="H77:N79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5"/>
  <sheetViews>
    <sheetView topLeftCell="A36" workbookViewId="0">
      <selection activeCell="B73" sqref="B73:H75"/>
    </sheetView>
  </sheetViews>
  <sheetFormatPr defaultColWidth="9" defaultRowHeight="18.75"/>
  <cols>
    <col min="1" max="1" width="4.375" style="66" customWidth="1"/>
    <col min="2" max="2" width="21.125" style="66" customWidth="1"/>
    <col min="3" max="16" width="15.25" style="68" customWidth="1"/>
    <col min="17" max="17" width="11.625" style="69" customWidth="1"/>
    <col min="18" max="19" width="10.125" style="69" customWidth="1"/>
    <col min="20" max="20" width="11.25" style="69" customWidth="1"/>
    <col min="21" max="24" width="10.125" style="69" customWidth="1"/>
    <col min="25" max="26" width="9" style="69" customWidth="1"/>
    <col min="27" max="27" width="11.5" style="69" customWidth="1"/>
    <col min="28" max="28" width="11.125" style="69" customWidth="1"/>
    <col min="29" max="29" width="12.5" style="69" customWidth="1"/>
    <col min="30" max="16384" width="9" style="69"/>
  </cols>
  <sheetData>
    <row r="1" ht="20.25" spans="1:24">
      <c r="A1" s="15" t="s">
        <v>327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35"/>
      <c r="R1" s="35"/>
      <c r="S1" s="35"/>
      <c r="T1" s="35"/>
      <c r="U1" s="35"/>
      <c r="V1" s="35"/>
      <c r="W1" s="35"/>
      <c r="X1" s="35"/>
    </row>
    <row r="2" s="55" customFormat="1" ht="15" customHeight="1" spans="1:16">
      <c r="A2" s="70" t="s">
        <v>215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="64" customFormat="1" customHeight="1" spans="1:29">
      <c r="A3" s="17" t="s">
        <v>3</v>
      </c>
      <c r="B3" s="18" t="s">
        <v>243</v>
      </c>
      <c r="C3" s="19" t="s">
        <v>102</v>
      </c>
      <c r="D3" s="19" t="s">
        <v>128</v>
      </c>
      <c r="E3" s="19" t="s">
        <v>158</v>
      </c>
      <c r="F3" s="19" t="s">
        <v>159</v>
      </c>
      <c r="G3" s="19" t="s">
        <v>160</v>
      </c>
      <c r="H3" s="19" t="s">
        <v>161</v>
      </c>
      <c r="I3" s="19" t="s">
        <v>162</v>
      </c>
      <c r="J3" s="19" t="s">
        <v>163</v>
      </c>
      <c r="K3" s="19" t="s">
        <v>164</v>
      </c>
      <c r="L3" s="19" t="s">
        <v>165</v>
      </c>
      <c r="M3" s="19" t="s">
        <v>166</v>
      </c>
      <c r="N3" s="19" t="s">
        <v>167</v>
      </c>
      <c r="O3" s="19" t="s">
        <v>168</v>
      </c>
      <c r="P3" s="36" t="s">
        <v>169</v>
      </c>
      <c r="Q3" s="36" t="s">
        <v>170</v>
      </c>
      <c r="R3" s="36" t="s">
        <v>171</v>
      </c>
      <c r="S3" s="36" t="s">
        <v>172</v>
      </c>
      <c r="T3" s="36" t="s">
        <v>173</v>
      </c>
      <c r="U3" s="36" t="s">
        <v>174</v>
      </c>
      <c r="V3" s="36" t="s">
        <v>175</v>
      </c>
      <c r="W3" s="36" t="s">
        <v>176</v>
      </c>
      <c r="X3" s="36" t="s">
        <v>177</v>
      </c>
      <c r="Y3" s="36" t="s">
        <v>178</v>
      </c>
      <c r="Z3" s="36"/>
      <c r="AA3" s="36"/>
      <c r="AB3" s="36"/>
      <c r="AC3" s="36"/>
    </row>
    <row r="4" s="55" customFormat="1" customHeight="1" spans="1:29">
      <c r="A4" s="23">
        <v>1</v>
      </c>
      <c r="B4" s="24" t="s">
        <v>285</v>
      </c>
      <c r="C4" s="25">
        <f>SUM(D4:AC4)</f>
        <v>1005.0348369706</v>
      </c>
      <c r="D4" s="25">
        <f t="shared" ref="D4" si="0">SUM(D5:D5)</f>
        <v>0</v>
      </c>
      <c r="E4" s="25">
        <f>SUM(E5:E6)</f>
        <v>52.0783295460261</v>
      </c>
      <c r="F4" s="25">
        <f t="shared" ref="F4:Y4" si="1">SUM(F5:F6)</f>
        <v>50.6221943634</v>
      </c>
      <c r="G4" s="25">
        <f t="shared" si="1"/>
        <v>49.0922552972739</v>
      </c>
      <c r="H4" s="25">
        <f t="shared" si="1"/>
        <v>47.5623162311478</v>
      </c>
      <c r="I4" s="25">
        <f t="shared" si="1"/>
        <v>46.0323771650217</v>
      </c>
      <c r="J4" s="25">
        <f t="shared" si="1"/>
        <v>44.5024380988957</v>
      </c>
      <c r="K4" s="25">
        <f t="shared" si="1"/>
        <v>42.9724990327696</v>
      </c>
      <c r="L4" s="25">
        <f t="shared" si="1"/>
        <v>52.1521334295261</v>
      </c>
      <c r="M4" s="25">
        <f t="shared" si="1"/>
        <v>50.6221943634</v>
      </c>
      <c r="N4" s="25">
        <f t="shared" si="1"/>
        <v>49.0922552972739</v>
      </c>
      <c r="O4" s="25">
        <f t="shared" si="1"/>
        <v>47.5623162311478</v>
      </c>
      <c r="P4" s="25">
        <f t="shared" si="1"/>
        <v>46.0323771650217</v>
      </c>
      <c r="Q4" s="25">
        <f t="shared" si="1"/>
        <v>44.5024380988957</v>
      </c>
      <c r="R4" s="25">
        <f t="shared" si="1"/>
        <v>42.9724990327696</v>
      </c>
      <c r="S4" s="25">
        <f t="shared" si="1"/>
        <v>52.1521334295261</v>
      </c>
      <c r="T4" s="25">
        <f t="shared" si="1"/>
        <v>50.6221943634</v>
      </c>
      <c r="U4" s="25">
        <f t="shared" si="1"/>
        <v>49.0922552972739</v>
      </c>
      <c r="V4" s="25">
        <f t="shared" si="1"/>
        <v>47.5623162311478</v>
      </c>
      <c r="W4" s="25">
        <f t="shared" si="1"/>
        <v>46.0323771650217</v>
      </c>
      <c r="X4" s="25">
        <f t="shared" si="1"/>
        <v>44.5024380988957</v>
      </c>
      <c r="Y4" s="25">
        <f t="shared" si="1"/>
        <v>49.2724990327696</v>
      </c>
      <c r="Z4" s="25"/>
      <c r="AA4" s="25"/>
      <c r="AB4" s="25"/>
      <c r="AC4" s="25"/>
    </row>
    <row r="5" s="55" customFormat="1" customHeight="1" spans="1:29">
      <c r="A5" s="23">
        <v>1.1</v>
      </c>
      <c r="B5" s="24" t="s">
        <v>192</v>
      </c>
      <c r="C5" s="25">
        <f>SUM(D5:AC5)</f>
        <v>998.734836970604</v>
      </c>
      <c r="D5" s="25"/>
      <c r="E5" s="25">
        <f>'表2 营业收入、营业税金及附加估算表'!D5</f>
        <v>52.0783295460261</v>
      </c>
      <c r="F5" s="25">
        <f>'表2 营业收入、营业税金及附加估算表'!E5</f>
        <v>50.6221943634</v>
      </c>
      <c r="G5" s="25">
        <f>'表2 营业收入、营业税金及附加估算表'!F5</f>
        <v>49.0922552972739</v>
      </c>
      <c r="H5" s="25">
        <f>'表2 营业收入、营业税金及附加估算表'!G5</f>
        <v>47.5623162311478</v>
      </c>
      <c r="I5" s="25">
        <f>'表2 营业收入、营业税金及附加估算表'!H5</f>
        <v>46.0323771650217</v>
      </c>
      <c r="J5" s="25">
        <f>'表2 营业收入、营业税金及附加估算表'!I5</f>
        <v>44.5024380988957</v>
      </c>
      <c r="K5" s="25">
        <f>'表2 营业收入、营业税金及附加估算表'!J5</f>
        <v>42.9724990327696</v>
      </c>
      <c r="L5" s="25">
        <f>'表2 营业收入、营业税金及附加估算表'!K5</f>
        <v>52.1521334295261</v>
      </c>
      <c r="M5" s="25">
        <f>'表2 营业收入、营业税金及附加估算表'!L5</f>
        <v>50.6221943634</v>
      </c>
      <c r="N5" s="25">
        <f>'表2 营业收入、营业税金及附加估算表'!M5</f>
        <v>49.0922552972739</v>
      </c>
      <c r="O5" s="25">
        <f>'表2 营业收入、营业税金及附加估算表'!N5</f>
        <v>47.5623162311478</v>
      </c>
      <c r="P5" s="25">
        <f>'表2 营业收入、营业税金及附加估算表'!O5</f>
        <v>46.0323771650217</v>
      </c>
      <c r="Q5" s="25">
        <f>'表2 营业收入、营业税金及附加估算表'!P5</f>
        <v>44.5024380988957</v>
      </c>
      <c r="R5" s="25">
        <f>'表2 营业收入、营业税金及附加估算表'!Q5</f>
        <v>42.9724990327696</v>
      </c>
      <c r="S5" s="25">
        <f>'表2 营业收入、营业税金及附加估算表'!R5</f>
        <v>52.1521334295261</v>
      </c>
      <c r="T5" s="25">
        <f>'表2 营业收入、营业税金及附加估算表'!S5</f>
        <v>50.6221943634</v>
      </c>
      <c r="U5" s="25">
        <f>'表2 营业收入、营业税金及附加估算表'!T5</f>
        <v>49.0922552972739</v>
      </c>
      <c r="V5" s="25">
        <f>'表2 营业收入、营业税金及附加估算表'!U5</f>
        <v>47.5623162311478</v>
      </c>
      <c r="W5" s="25">
        <f>'表2 营业收入、营业税金及附加估算表'!V5</f>
        <v>46.0323771650217</v>
      </c>
      <c r="X5" s="25">
        <f>'表2 营业收入、营业税金及附加估算表'!W5</f>
        <v>44.5024380988957</v>
      </c>
      <c r="Y5" s="25">
        <f>'表2 营业收入、营业税金及附加估算表'!X5</f>
        <v>42.9724990327696</v>
      </c>
      <c r="Z5" s="25"/>
      <c r="AA5" s="25"/>
      <c r="AB5" s="25"/>
      <c r="AC5" s="25"/>
    </row>
    <row r="6" s="55" customFormat="1" customHeight="1" spans="1:29">
      <c r="A6" s="23">
        <v>1.2</v>
      </c>
      <c r="B6" s="24" t="s">
        <v>286</v>
      </c>
      <c r="C6" s="25">
        <f t="shared" ref="C6" si="2">SUM(D6:AC6)</f>
        <v>6.30000000000004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>
        <f>'表3 固定资产折旧费估算表'!X14</f>
        <v>6.30000000000004</v>
      </c>
      <c r="Z6" s="25"/>
      <c r="AA6" s="25"/>
      <c r="AB6" s="25"/>
      <c r="AC6" s="25"/>
    </row>
    <row r="7" s="65" customFormat="1" customHeight="1" spans="1:29">
      <c r="A7" s="23">
        <v>2</v>
      </c>
      <c r="B7" s="26" t="s">
        <v>287</v>
      </c>
      <c r="C7" s="25">
        <f t="shared" ref="C7:C17" si="3">SUM(D7:AC7)</f>
        <v>733.513330314597</v>
      </c>
      <c r="D7" s="25">
        <f t="shared" ref="D7:L7" si="4">SUM(D8:D11)</f>
        <v>210</v>
      </c>
      <c r="E7" s="25">
        <f t="shared" si="4"/>
        <v>21.8509173720662</v>
      </c>
      <c r="F7" s="25">
        <f t="shared" si="4"/>
        <v>21.2453938053097</v>
      </c>
      <c r="G7" s="25">
        <f t="shared" si="4"/>
        <v>20.6398702385533</v>
      </c>
      <c r="H7" s="25">
        <f t="shared" si="4"/>
        <v>20.0343466717969</v>
      </c>
      <c r="I7" s="25">
        <f t="shared" si="4"/>
        <v>24.6461337744077</v>
      </c>
      <c r="J7" s="25">
        <f t="shared" si="4"/>
        <v>24.5873255529335</v>
      </c>
      <c r="K7" s="25">
        <f t="shared" si="4"/>
        <v>23.7836418638399</v>
      </c>
      <c r="L7" s="25">
        <f t="shared" si="4"/>
        <v>28.6057439984016</v>
      </c>
      <c r="M7" s="25">
        <f t="shared" ref="M7" si="5">SUM(M8:M11)</f>
        <v>27.802060309308</v>
      </c>
      <c r="N7" s="25">
        <f t="shared" ref="N7" si="6">SUM(N8:N11)</f>
        <v>26.9983766202144</v>
      </c>
      <c r="O7" s="25">
        <f t="shared" ref="O7" si="7">SUM(O8:O11)</f>
        <v>26.1946929311207</v>
      </c>
      <c r="P7" s="25">
        <f t="shared" ref="P7" si="8">SUM(P8:P11)</f>
        <v>25.3910092420271</v>
      </c>
      <c r="Q7" s="25">
        <f t="shared" ref="Q7" si="9">SUM(Q8:Q11)</f>
        <v>24.5873255529335</v>
      </c>
      <c r="R7" s="25">
        <f t="shared" ref="R7" si="10">SUM(R8:R11)</f>
        <v>23.7836418638399</v>
      </c>
      <c r="S7" s="25">
        <f t="shared" ref="S7" si="11">SUM(S8:S11)</f>
        <v>28.6057439984016</v>
      </c>
      <c r="T7" s="25">
        <f t="shared" ref="T7" si="12">SUM(T8:T11)</f>
        <v>27.802060309308</v>
      </c>
      <c r="U7" s="25">
        <f t="shared" ref="U7" si="13">SUM(U8:U11)</f>
        <v>26.9983766202144</v>
      </c>
      <c r="V7" s="25">
        <f t="shared" ref="V7" si="14">SUM(V8:V11)</f>
        <v>26.1946929311207</v>
      </c>
      <c r="W7" s="25">
        <f t="shared" ref="W7" si="15">SUM(W8:W11)</f>
        <v>25.3910092420271</v>
      </c>
      <c r="X7" s="25">
        <f t="shared" ref="X7" si="16">SUM(X8:X11)</f>
        <v>24.5873255529335</v>
      </c>
      <c r="Y7" s="25">
        <f t="shared" ref="Y7" si="17">SUM(Y8:Y11)</f>
        <v>23.7836418638399</v>
      </c>
      <c r="Z7" s="25"/>
      <c r="AA7" s="25"/>
      <c r="AB7" s="25"/>
      <c r="AC7" s="25"/>
    </row>
    <row r="8" s="55" customFormat="1" customHeight="1" spans="1:29">
      <c r="A8" s="23">
        <v>2.1</v>
      </c>
      <c r="B8" s="24" t="s">
        <v>328</v>
      </c>
      <c r="C8" s="25">
        <f t="shared" si="3"/>
        <v>210</v>
      </c>
      <c r="D8" s="25">
        <f>基础输入数据!D3</f>
        <v>210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="55" customFormat="1" customHeight="1" spans="1:29">
      <c r="A9" s="23">
        <v>2.3</v>
      </c>
      <c r="B9" s="24" t="s">
        <v>291</v>
      </c>
      <c r="C9" s="25">
        <f t="shared" si="3"/>
        <v>420.721280107734</v>
      </c>
      <c r="D9" s="25"/>
      <c r="E9" s="25">
        <f>'表4 总成本费用估算表'!D17</f>
        <v>21.8509173720662</v>
      </c>
      <c r="F9" s="25">
        <f>'表4 总成本费用估算表'!E17</f>
        <v>21.2453938053097</v>
      </c>
      <c r="G9" s="25">
        <f>'表4 总成本费用估算表'!F17</f>
        <v>20.6398702385533</v>
      </c>
      <c r="H9" s="25">
        <f>'表4 总成本费用估算表'!G17</f>
        <v>20.0343466717969</v>
      </c>
      <c r="I9" s="25">
        <f>'表4 总成本费用估算表'!H17</f>
        <v>19.4288231050404</v>
      </c>
      <c r="J9" s="25">
        <f>'表4 总成本费用估算表'!I17</f>
        <v>18.823299538284</v>
      </c>
      <c r="K9" s="25">
        <f>'表4 总成本费用估算表'!J17</f>
        <v>18.2177759715275</v>
      </c>
      <c r="L9" s="25">
        <f>'表4 总成本费用估算表'!K17</f>
        <v>21.8509173720662</v>
      </c>
      <c r="M9" s="25">
        <f>'表4 总成本费用估算表'!L17</f>
        <v>21.2453938053097</v>
      </c>
      <c r="N9" s="25">
        <f>'表4 总成本费用估算表'!M17</f>
        <v>20.6398702385533</v>
      </c>
      <c r="O9" s="25">
        <f>'表4 总成本费用估算表'!N17</f>
        <v>20.0343466717968</v>
      </c>
      <c r="P9" s="25">
        <f>'表4 总成本费用估算表'!O17</f>
        <v>19.4288231050404</v>
      </c>
      <c r="Q9" s="25">
        <f>'表4 总成本费用估算表'!P17</f>
        <v>18.823299538284</v>
      </c>
      <c r="R9" s="25">
        <f>'表4 总成本费用估算表'!Q17</f>
        <v>18.2177759715275</v>
      </c>
      <c r="S9" s="25">
        <f>'表4 总成本费用估算表'!R17</f>
        <v>21.8509173720662</v>
      </c>
      <c r="T9" s="25">
        <f>'表4 总成本费用估算表'!S17</f>
        <v>21.2453938053097</v>
      </c>
      <c r="U9" s="25">
        <f>'表4 总成本费用估算表'!T17</f>
        <v>20.6398702385533</v>
      </c>
      <c r="V9" s="25">
        <f>'表4 总成本费用估算表'!U17</f>
        <v>20.0343466717969</v>
      </c>
      <c r="W9" s="25">
        <f>'表4 总成本费用估算表'!V17</f>
        <v>19.4288231050404</v>
      </c>
      <c r="X9" s="25">
        <f>'表4 总成本费用估算表'!W17</f>
        <v>18.823299538284</v>
      </c>
      <c r="Y9" s="25">
        <f>'表4 总成本费用估算表'!X17</f>
        <v>18.2177759715275</v>
      </c>
      <c r="Z9" s="25"/>
      <c r="AA9" s="25"/>
      <c r="AB9" s="25"/>
      <c r="AC9" s="25"/>
    </row>
    <row r="10" s="65" customFormat="1" customHeight="1" spans="1:29">
      <c r="A10" s="23">
        <v>2.4</v>
      </c>
      <c r="B10" s="26" t="s">
        <v>207</v>
      </c>
      <c r="C10" s="25">
        <f t="shared" si="3"/>
        <v>9.34473183698761</v>
      </c>
      <c r="D10" s="25"/>
      <c r="E10" s="25">
        <f>'表2 营业收入、营业税金及附加估算表'!D19</f>
        <v>0</v>
      </c>
      <c r="F10" s="25">
        <f>'表2 营业收入、营业税金及附加估算表'!E19</f>
        <v>0</v>
      </c>
      <c r="G10" s="25">
        <f>'表2 营业收入、营业税金及附加估算表'!F19</f>
        <v>0</v>
      </c>
      <c r="H10" s="25">
        <f>'表2 营业收入、营业税金及附加估算表'!G19</f>
        <v>0</v>
      </c>
      <c r="I10" s="25">
        <f>'表2 营业收入、营业税金及附加估算表'!H19</f>
        <v>0.474300969942478</v>
      </c>
      <c r="J10" s="25">
        <f>'表2 营业收入、营业税金及附加估算表'!I19</f>
        <v>0.524002364968142</v>
      </c>
      <c r="K10" s="25">
        <f>'表2 营业收入、营业税金及附加估算表'!J19</f>
        <v>0.505987808392036</v>
      </c>
      <c r="L10" s="25">
        <f>'表2 营业收入、营业税金及附加估算表'!K19</f>
        <v>0.614075147848673</v>
      </c>
      <c r="M10" s="25">
        <f>'表2 营业收入、营业税金及附加估算表'!L19</f>
        <v>0.596060591272566</v>
      </c>
      <c r="N10" s="25">
        <f>'表2 营业收入、营业税金及附加估算表'!M19</f>
        <v>0.57804603469646</v>
      </c>
      <c r="O10" s="25">
        <f>'表2 营业收入、营业税金及附加估算表'!N19</f>
        <v>0.560031478120354</v>
      </c>
      <c r="P10" s="25">
        <f>'表2 营业收入、营业税金及附加估算表'!O19</f>
        <v>0.542016921544248</v>
      </c>
      <c r="Q10" s="25">
        <f>'表2 营业收入、营业税金及附加估算表'!P19</f>
        <v>0.524002364968142</v>
      </c>
      <c r="R10" s="25">
        <f>'表2 营业收入、营业税金及附加估算表'!Q19</f>
        <v>0.505987808392036</v>
      </c>
      <c r="S10" s="25">
        <f>'表2 营业收入、营业税金及附加估算表'!R19</f>
        <v>0.614075147848673</v>
      </c>
      <c r="T10" s="25">
        <f>'表2 营业收入、营业税金及附加估算表'!S19</f>
        <v>0.596060591272566</v>
      </c>
      <c r="U10" s="25">
        <f>'表2 营业收入、营业税金及附加估算表'!T19</f>
        <v>0.57804603469646</v>
      </c>
      <c r="V10" s="25">
        <f>'表2 营业收入、营业税金及附加估算表'!U19</f>
        <v>0.560031478120354</v>
      </c>
      <c r="W10" s="25">
        <f>'表2 营业收入、营业税金及附加估算表'!V19</f>
        <v>0.542016921544248</v>
      </c>
      <c r="X10" s="25">
        <f>'表2 营业收入、营业税金及附加估算表'!W19</f>
        <v>0.524002364968142</v>
      </c>
      <c r="Y10" s="25">
        <f>'表2 营业收入、营业税金及附加估算表'!X19</f>
        <v>0.505987808392036</v>
      </c>
      <c r="Z10" s="25"/>
      <c r="AA10" s="25"/>
      <c r="AB10" s="25"/>
      <c r="AC10" s="25"/>
    </row>
    <row r="11" s="65" customFormat="1" customHeight="1" spans="1:29">
      <c r="A11" s="23">
        <v>2.5</v>
      </c>
      <c r="B11" s="26" t="s">
        <v>212</v>
      </c>
      <c r="C11" s="25">
        <f t="shared" si="3"/>
        <v>93.4473183698761</v>
      </c>
      <c r="D11" s="25"/>
      <c r="E11" s="25">
        <f>'表2 营业收入、营业税金及附加估算表'!D25</f>
        <v>0</v>
      </c>
      <c r="F11" s="25">
        <f>'表2 营业收入、营业税金及附加估算表'!E25</f>
        <v>0</v>
      </c>
      <c r="G11" s="25">
        <f>'表2 营业收入、营业税金及附加估算表'!F25</f>
        <v>0</v>
      </c>
      <c r="H11" s="25">
        <f>'表2 营业收入、营业税金及附加估算表'!G25</f>
        <v>0</v>
      </c>
      <c r="I11" s="25">
        <f>'表2 营业收入、营业税金及附加估算表'!H25</f>
        <v>4.74300969942478</v>
      </c>
      <c r="J11" s="25">
        <f>'表2 营业收入、营业税金及附加估算表'!I25</f>
        <v>5.24002364968142</v>
      </c>
      <c r="K11" s="25">
        <f>'表2 营业收入、营业税金及附加估算表'!J25</f>
        <v>5.05987808392036</v>
      </c>
      <c r="L11" s="25">
        <f>'表2 营业收入、营业税金及附加估算表'!K25</f>
        <v>6.14075147848673</v>
      </c>
      <c r="M11" s="25">
        <f>'表2 营业收入、营业税金及附加估算表'!L25</f>
        <v>5.96060591272566</v>
      </c>
      <c r="N11" s="25">
        <f>'表2 营业收入、营业税金及附加估算表'!M25</f>
        <v>5.7804603469646</v>
      </c>
      <c r="O11" s="25">
        <f>'表2 营业收入、营业税金及附加估算表'!N25</f>
        <v>5.60031478120354</v>
      </c>
      <c r="P11" s="25">
        <f>'表2 营业收入、营业税金及附加估算表'!O25</f>
        <v>5.42016921544248</v>
      </c>
      <c r="Q11" s="25">
        <f>'表2 营业收入、营业税金及附加估算表'!P25</f>
        <v>5.24002364968142</v>
      </c>
      <c r="R11" s="25">
        <f>'表2 营业收入、营业税金及附加估算表'!Q25</f>
        <v>5.05987808392036</v>
      </c>
      <c r="S11" s="25">
        <f>'表2 营业收入、营业税金及附加估算表'!R25</f>
        <v>6.14075147848673</v>
      </c>
      <c r="T11" s="25">
        <f>'表2 营业收入、营业税金及附加估算表'!S25</f>
        <v>5.96060591272566</v>
      </c>
      <c r="U11" s="25">
        <f>'表2 营业收入、营业税金及附加估算表'!T25</f>
        <v>5.7804603469646</v>
      </c>
      <c r="V11" s="25">
        <f>'表2 营业收入、营业税金及附加估算表'!U25</f>
        <v>5.60031478120354</v>
      </c>
      <c r="W11" s="25">
        <f>'表2 营业收入、营业税金及附加估算表'!V25</f>
        <v>5.42016921544248</v>
      </c>
      <c r="X11" s="25">
        <f>'表2 营业收入、营业税金及附加估算表'!W25</f>
        <v>5.24002364968142</v>
      </c>
      <c r="Y11" s="25">
        <f>'表2 营业收入、营业税金及附加估算表'!X25</f>
        <v>5.05987808392036</v>
      </c>
      <c r="Z11" s="25"/>
      <c r="AA11" s="25"/>
      <c r="AB11" s="25"/>
      <c r="AC11" s="25"/>
    </row>
    <row r="12" s="65" customFormat="1" customHeight="1" spans="1:29">
      <c r="A12" s="23">
        <v>3</v>
      </c>
      <c r="B12" s="26" t="s">
        <v>329</v>
      </c>
      <c r="C12" s="25">
        <f t="shared" si="3"/>
        <v>271.521506656007</v>
      </c>
      <c r="D12" s="25">
        <f t="shared" ref="D12:L12" si="18">D4-D7</f>
        <v>-210</v>
      </c>
      <c r="E12" s="25">
        <f t="shared" si="18"/>
        <v>30.2274121739599</v>
      </c>
      <c r="F12" s="25">
        <f t="shared" si="18"/>
        <v>29.3768005580903</v>
      </c>
      <c r="G12" s="25">
        <f t="shared" si="18"/>
        <v>28.4523850587206</v>
      </c>
      <c r="H12" s="25">
        <f t="shared" si="18"/>
        <v>27.527969559351</v>
      </c>
      <c r="I12" s="25">
        <f t="shared" si="18"/>
        <v>21.3862433906141</v>
      </c>
      <c r="J12" s="25">
        <f t="shared" si="18"/>
        <v>19.9151125459621</v>
      </c>
      <c r="K12" s="25">
        <f t="shared" si="18"/>
        <v>19.1888571689297</v>
      </c>
      <c r="L12" s="25">
        <f t="shared" si="18"/>
        <v>23.5463894311245</v>
      </c>
      <c r="M12" s="25">
        <f t="shared" ref="M12:Y12" si="19">M4-M7</f>
        <v>22.820134054092</v>
      </c>
      <c r="N12" s="25">
        <f t="shared" si="19"/>
        <v>22.0938786770596</v>
      </c>
      <c r="O12" s="25">
        <f t="shared" si="19"/>
        <v>21.3676233000271</v>
      </c>
      <c r="P12" s="25">
        <f t="shared" si="19"/>
        <v>20.6413679229946</v>
      </c>
      <c r="Q12" s="25">
        <f t="shared" si="19"/>
        <v>19.9151125459621</v>
      </c>
      <c r="R12" s="25">
        <f t="shared" si="19"/>
        <v>19.1888571689297</v>
      </c>
      <c r="S12" s="25">
        <f t="shared" si="19"/>
        <v>23.5463894311245</v>
      </c>
      <c r="T12" s="25">
        <f t="shared" si="19"/>
        <v>22.820134054092</v>
      </c>
      <c r="U12" s="25">
        <f t="shared" si="19"/>
        <v>22.0938786770596</v>
      </c>
      <c r="V12" s="25">
        <f t="shared" si="19"/>
        <v>21.3676233000271</v>
      </c>
      <c r="W12" s="25">
        <f t="shared" si="19"/>
        <v>20.6413679229946</v>
      </c>
      <c r="X12" s="25">
        <f t="shared" si="19"/>
        <v>19.9151125459621</v>
      </c>
      <c r="Y12" s="25">
        <f t="shared" si="19"/>
        <v>25.4888571689297</v>
      </c>
      <c r="Z12" s="25"/>
      <c r="AA12" s="25"/>
      <c r="AB12" s="25"/>
      <c r="AC12" s="25"/>
    </row>
    <row r="13" s="65" customFormat="1" customHeight="1" spans="1:29">
      <c r="A13" s="23">
        <v>4</v>
      </c>
      <c r="B13" s="26" t="s">
        <v>330</v>
      </c>
      <c r="C13" s="25"/>
      <c r="D13" s="25">
        <f>D12</f>
        <v>-210</v>
      </c>
      <c r="E13" s="25">
        <f>D13+E12</f>
        <v>-179.77258782604</v>
      </c>
      <c r="F13" s="25">
        <f t="shared" ref="F13:M13" si="20">E13+F12</f>
        <v>-150.39578726795</v>
      </c>
      <c r="G13" s="25">
        <f t="shared" si="20"/>
        <v>-121.943402209229</v>
      </c>
      <c r="H13" s="25">
        <f t="shared" si="20"/>
        <v>-94.4154326498782</v>
      </c>
      <c r="I13" s="25">
        <f t="shared" si="20"/>
        <v>-73.0291892592641</v>
      </c>
      <c r="J13" s="25">
        <f t="shared" si="20"/>
        <v>-53.114076713302</v>
      </c>
      <c r="K13" s="25">
        <f t="shared" si="20"/>
        <v>-33.9252195443723</v>
      </c>
      <c r="L13" s="25">
        <f t="shared" si="20"/>
        <v>-10.3788301132478</v>
      </c>
      <c r="M13" s="25">
        <f t="shared" si="20"/>
        <v>12.4413039408442</v>
      </c>
      <c r="N13" s="25">
        <f t="shared" ref="N13" si="21">M13+N12</f>
        <v>34.5351826179038</v>
      </c>
      <c r="O13" s="25">
        <f t="shared" ref="O13" si="22">N13+O12</f>
        <v>55.9028059179309</v>
      </c>
      <c r="P13" s="25">
        <f t="shared" ref="P13" si="23">O13+P12</f>
        <v>76.5441738409255</v>
      </c>
      <c r="Q13" s="25">
        <f t="shared" ref="Q13" si="24">P13+Q12</f>
        <v>96.4592863868876</v>
      </c>
      <c r="R13" s="25">
        <f t="shared" ref="R13" si="25">Q13+R12</f>
        <v>115.648143555817</v>
      </c>
      <c r="S13" s="25">
        <f t="shared" ref="S13" si="26">R13+S12</f>
        <v>139.194532986942</v>
      </c>
      <c r="T13" s="25">
        <f t="shared" ref="T13:U13" si="27">S13+T12</f>
        <v>162.014667041034</v>
      </c>
      <c r="U13" s="25">
        <f t="shared" si="27"/>
        <v>184.108545718093</v>
      </c>
      <c r="V13" s="25">
        <f t="shared" ref="V13" si="28">U13+V12</f>
        <v>205.47616901812</v>
      </c>
      <c r="W13" s="25">
        <f t="shared" ref="W13" si="29">V13+W12</f>
        <v>226.117536941115</v>
      </c>
      <c r="X13" s="25">
        <f t="shared" ref="X13" si="30">W13+X12</f>
        <v>246.032649487077</v>
      </c>
      <c r="Y13" s="25">
        <f t="shared" ref="Y13" si="31">X13+Y12</f>
        <v>271.521506656007</v>
      </c>
      <c r="Z13" s="25"/>
      <c r="AA13" s="25"/>
      <c r="AB13" s="25"/>
      <c r="AC13" s="25"/>
    </row>
    <row r="14" s="65" customFormat="1" customHeight="1" spans="1:29">
      <c r="A14" s="23"/>
      <c r="B14" s="71"/>
      <c r="C14" s="25"/>
      <c r="D14" s="25"/>
      <c r="E14" s="72">
        <v>1</v>
      </c>
      <c r="F14" s="72">
        <v>2</v>
      </c>
      <c r="G14" s="72">
        <v>3</v>
      </c>
      <c r="H14" s="72">
        <v>4</v>
      </c>
      <c r="I14" s="72">
        <v>5</v>
      </c>
      <c r="J14" s="72">
        <v>6</v>
      </c>
      <c r="K14" s="72">
        <v>7</v>
      </c>
      <c r="L14" s="72">
        <v>8</v>
      </c>
      <c r="M14" s="72">
        <v>9</v>
      </c>
      <c r="N14" s="72">
        <v>10</v>
      </c>
      <c r="O14" s="72">
        <v>11</v>
      </c>
      <c r="P14" s="72">
        <v>12</v>
      </c>
      <c r="Q14" s="72">
        <v>13</v>
      </c>
      <c r="R14" s="72">
        <v>14</v>
      </c>
      <c r="S14" s="72">
        <v>15</v>
      </c>
      <c r="T14" s="72">
        <v>16</v>
      </c>
      <c r="U14" s="72">
        <v>17</v>
      </c>
      <c r="V14" s="72">
        <v>18</v>
      </c>
      <c r="W14" s="72">
        <v>19</v>
      </c>
      <c r="X14" s="72">
        <v>20</v>
      </c>
      <c r="Y14" s="72">
        <v>21</v>
      </c>
      <c r="Z14" s="72"/>
      <c r="AA14" s="72"/>
      <c r="AB14" s="72"/>
      <c r="AC14" s="72"/>
    </row>
    <row r="15" s="65" customFormat="1" customHeight="1" spans="1:29">
      <c r="A15" s="23"/>
      <c r="B15" s="71" t="s">
        <v>331</v>
      </c>
      <c r="C15" s="25"/>
      <c r="D15" s="25"/>
      <c r="E15" s="73" t="str">
        <f t="shared" ref="E15:L15" si="32">IF(E13&lt;0,"",IF(E12&lt;E13,"",E14-E13/D12))</f>
        <v/>
      </c>
      <c r="F15" s="73" t="str">
        <f t="shared" si="32"/>
        <v/>
      </c>
      <c r="G15" s="73" t="str">
        <f t="shared" si="32"/>
        <v/>
      </c>
      <c r="H15" s="73" t="str">
        <f t="shared" si="32"/>
        <v/>
      </c>
      <c r="I15" s="73" t="str">
        <f t="shared" si="32"/>
        <v/>
      </c>
      <c r="J15" s="73" t="str">
        <f t="shared" si="32"/>
        <v/>
      </c>
      <c r="K15" s="73" t="str">
        <f t="shared" si="32"/>
        <v/>
      </c>
      <c r="L15" s="73" t="str">
        <f t="shared" si="32"/>
        <v/>
      </c>
      <c r="M15" s="73">
        <f t="shared" ref="M15:Y15" si="33">IF(M13&lt;0,"",IF(M12&lt;M13,"",M14-M13/L12))</f>
        <v>8.47162583133027</v>
      </c>
      <c r="N15" s="73" t="str">
        <f t="shared" si="33"/>
        <v/>
      </c>
      <c r="O15" s="73" t="str">
        <f t="shared" si="33"/>
        <v/>
      </c>
      <c r="P15" s="73" t="str">
        <f t="shared" si="33"/>
        <v/>
      </c>
      <c r="Q15" s="73" t="str">
        <f t="shared" si="33"/>
        <v/>
      </c>
      <c r="R15" s="73" t="str">
        <f t="shared" si="33"/>
        <v/>
      </c>
      <c r="S15" s="73" t="str">
        <f t="shared" si="33"/>
        <v/>
      </c>
      <c r="T15" s="73" t="str">
        <f t="shared" si="33"/>
        <v/>
      </c>
      <c r="U15" s="73" t="str">
        <f t="shared" si="33"/>
        <v/>
      </c>
      <c r="V15" s="73" t="str">
        <f t="shared" si="33"/>
        <v/>
      </c>
      <c r="W15" s="73" t="str">
        <f t="shared" si="33"/>
        <v/>
      </c>
      <c r="X15" s="73" t="str">
        <f t="shared" si="33"/>
        <v/>
      </c>
      <c r="Y15" s="73" t="str">
        <f t="shared" si="33"/>
        <v/>
      </c>
      <c r="Z15" s="73"/>
      <c r="AA15" s="73"/>
      <c r="AB15" s="73"/>
      <c r="AC15" s="73"/>
    </row>
    <row r="16" s="65" customFormat="1" customHeight="1" spans="1:29">
      <c r="A16" s="23">
        <v>5</v>
      </c>
      <c r="B16" s="26" t="s">
        <v>332</v>
      </c>
      <c r="C16" s="25">
        <f t="shared" si="3"/>
        <v>67.8803766640017</v>
      </c>
      <c r="D16" s="25"/>
      <c r="E16" s="25">
        <f>'表5 利润与利润分配表'!D18</f>
        <v>3.02932004112493</v>
      </c>
      <c r="F16" s="25">
        <f>'表5 利润与利润分配表'!E18</f>
        <v>2.86170352859779</v>
      </c>
      <c r="G16" s="25">
        <f>'表5 利润与利润分配表'!F18</f>
        <v>2.67563604519565</v>
      </c>
      <c r="H16" s="25">
        <f>'表5 利润与利润分配表'!G18</f>
        <v>2.4895685617935</v>
      </c>
      <c r="I16" s="25">
        <f>'表5 利润与利润分配表'!H18</f>
        <v>2.18492583590573</v>
      </c>
      <c r="J16" s="25">
        <f>'表5 利润与利润分配表'!I18</f>
        <v>1.98643300374717</v>
      </c>
      <c r="K16" s="25">
        <f>'表5 利润与利润分配表'!J18</f>
        <v>1.80486915948906</v>
      </c>
      <c r="L16" s="25">
        <f>'表5 利润与利润分配表'!K18</f>
        <v>2.89425222503776</v>
      </c>
      <c r="M16" s="25">
        <f>'表5 利润与利润分配表'!L18</f>
        <v>2.71268838077965</v>
      </c>
      <c r="N16" s="25">
        <f>'表5 利润与利润分配表'!M18</f>
        <v>2.53112453652153</v>
      </c>
      <c r="O16" s="25">
        <f>'表5 利润与利润分配表'!N18</f>
        <v>2.34956069226341</v>
      </c>
      <c r="P16" s="25">
        <f>'表5 利润与利润分配表'!O18</f>
        <v>2.16799684800529</v>
      </c>
      <c r="Q16" s="25">
        <f>'表5 利润与利润分配表'!P18</f>
        <v>1.98643300374717</v>
      </c>
      <c r="R16" s="25">
        <f>'表5 利润与利润分配表'!Q18</f>
        <v>1.80486915948906</v>
      </c>
      <c r="S16" s="25">
        <f>'表5 利润与利润分配表'!R18</f>
        <v>2.89425222503776</v>
      </c>
      <c r="T16" s="25">
        <f>'表5 利润与利润分配表'!S18</f>
        <v>5.70503351352301</v>
      </c>
      <c r="U16" s="25">
        <f>'表5 利润与利润分配表'!T18</f>
        <v>5.52346966926489</v>
      </c>
      <c r="V16" s="25">
        <f>'表5 利润与利润分配表'!U18</f>
        <v>5.34190582500677</v>
      </c>
      <c r="W16" s="25">
        <f>'表5 利润与利润分配表'!V18</f>
        <v>5.16034198074865</v>
      </c>
      <c r="X16" s="25">
        <f>'表5 利润与利润分配表'!W18</f>
        <v>4.97877813649053</v>
      </c>
      <c r="Y16" s="25">
        <f>'表5 利润与利润分配表'!X18</f>
        <v>4.79721429223242</v>
      </c>
      <c r="Z16" s="25"/>
      <c r="AA16" s="25"/>
      <c r="AB16" s="25"/>
      <c r="AC16" s="25"/>
    </row>
    <row r="17" s="65" customFormat="1" customHeight="1" spans="1:29">
      <c r="A17" s="23">
        <v>6</v>
      </c>
      <c r="B17" s="26" t="s">
        <v>333</v>
      </c>
      <c r="C17" s="25">
        <f t="shared" si="3"/>
        <v>203.641129992005</v>
      </c>
      <c r="D17" s="25">
        <f>D12-D16</f>
        <v>-210</v>
      </c>
      <c r="E17" s="25">
        <f>E12-E16</f>
        <v>27.198092132835</v>
      </c>
      <c r="F17" s="25">
        <f>F12-F16</f>
        <v>26.5150970294925</v>
      </c>
      <c r="G17" s="25">
        <f>G12-G16</f>
        <v>25.776749013525</v>
      </c>
      <c r="H17" s="25">
        <f>H12-H16</f>
        <v>25.0384009975575</v>
      </c>
      <c r="I17" s="25">
        <f t="shared" ref="I17:P17" si="34">I12-I16</f>
        <v>19.2013175547083</v>
      </c>
      <c r="J17" s="25">
        <f t="shared" si="34"/>
        <v>17.928679542215</v>
      </c>
      <c r="K17" s="25">
        <f t="shared" si="34"/>
        <v>17.3839880094406</v>
      </c>
      <c r="L17" s="25">
        <f t="shared" si="34"/>
        <v>20.6521372060867</v>
      </c>
      <c r="M17" s="25">
        <f t="shared" si="34"/>
        <v>20.1074456733124</v>
      </c>
      <c r="N17" s="25">
        <f t="shared" si="34"/>
        <v>19.562754140538</v>
      </c>
      <c r="O17" s="25">
        <f t="shared" si="34"/>
        <v>19.0180626077637</v>
      </c>
      <c r="P17" s="25">
        <f t="shared" si="34"/>
        <v>18.4733710749893</v>
      </c>
      <c r="Q17" s="25">
        <f t="shared" ref="Q17:Y17" si="35">Q12-Q16</f>
        <v>17.928679542215</v>
      </c>
      <c r="R17" s="25">
        <f t="shared" si="35"/>
        <v>17.3839880094406</v>
      </c>
      <c r="S17" s="25">
        <f t="shared" si="35"/>
        <v>20.6521372060867</v>
      </c>
      <c r="T17" s="25">
        <f t="shared" si="35"/>
        <v>17.115100540569</v>
      </c>
      <c r="U17" s="25">
        <f t="shared" si="35"/>
        <v>16.5704090077947</v>
      </c>
      <c r="V17" s="25">
        <f t="shared" si="35"/>
        <v>16.0257174750203</v>
      </c>
      <c r="W17" s="25">
        <f t="shared" si="35"/>
        <v>15.481025942246</v>
      </c>
      <c r="X17" s="25">
        <f t="shared" si="35"/>
        <v>14.9363344094716</v>
      </c>
      <c r="Y17" s="25">
        <f t="shared" si="35"/>
        <v>20.6916428766973</v>
      </c>
      <c r="Z17" s="25"/>
      <c r="AA17" s="25"/>
      <c r="AB17" s="25"/>
      <c r="AC17" s="25"/>
    </row>
    <row r="18" s="55" customFormat="1" customHeight="1" spans="1:29">
      <c r="A18" s="27">
        <v>7</v>
      </c>
      <c r="B18" s="28" t="s">
        <v>334</v>
      </c>
      <c r="C18" s="29"/>
      <c r="D18" s="29">
        <f>D17</f>
        <v>-210</v>
      </c>
      <c r="E18" s="29">
        <f>D18+E17</f>
        <v>-182.801907867165</v>
      </c>
      <c r="F18" s="29">
        <f t="shared" ref="F18:L18" si="36">E18+F17</f>
        <v>-156.286810837673</v>
      </c>
      <c r="G18" s="29">
        <f t="shared" si="36"/>
        <v>-130.510061824148</v>
      </c>
      <c r="H18" s="29">
        <f t="shared" si="36"/>
        <v>-105.47166082659</v>
      </c>
      <c r="I18" s="29">
        <f t="shared" si="36"/>
        <v>-86.2703432718817</v>
      </c>
      <c r="J18" s="29">
        <f t="shared" si="36"/>
        <v>-68.3416637296668</v>
      </c>
      <c r="K18" s="29">
        <f t="shared" si="36"/>
        <v>-50.9576757202261</v>
      </c>
      <c r="L18" s="29">
        <f t="shared" si="36"/>
        <v>-30.3055385141394</v>
      </c>
      <c r="M18" s="29">
        <f t="shared" ref="M18" si="37">L18+M17</f>
        <v>-10.198092840827</v>
      </c>
      <c r="N18" s="29">
        <f t="shared" ref="N18" si="38">M18+N17</f>
        <v>9.36466129971102</v>
      </c>
      <c r="O18" s="29">
        <f t="shared" ref="O18" si="39">N18+O17</f>
        <v>28.3827239074747</v>
      </c>
      <c r="P18" s="29">
        <f t="shared" ref="P18" si="40">O18+P17</f>
        <v>46.856094982464</v>
      </c>
      <c r="Q18" s="29">
        <f t="shared" ref="Q18" si="41">P18+Q17</f>
        <v>64.784774524679</v>
      </c>
      <c r="R18" s="29">
        <f t="shared" ref="R18" si="42">Q18+R17</f>
        <v>82.1687625341196</v>
      </c>
      <c r="S18" s="29">
        <f t="shared" ref="S18:U18" si="43">R18+S17</f>
        <v>102.820899740206</v>
      </c>
      <c r="T18" s="29">
        <f t="shared" si="43"/>
        <v>119.936000280775</v>
      </c>
      <c r="U18" s="29">
        <f t="shared" si="43"/>
        <v>136.50640928857</v>
      </c>
      <c r="V18" s="29">
        <f t="shared" ref="V18" si="44">U18+V17</f>
        <v>152.53212676359</v>
      </c>
      <c r="W18" s="29">
        <f t="shared" ref="W18" si="45">V18+W17</f>
        <v>168.013152705836</v>
      </c>
      <c r="X18" s="29">
        <f t="shared" ref="X18" si="46">W18+X17</f>
        <v>182.949487115308</v>
      </c>
      <c r="Y18" s="29">
        <f t="shared" ref="Y18" si="47">X18+Y17</f>
        <v>203.641129992005</v>
      </c>
      <c r="Z18" s="29"/>
      <c r="AA18" s="29"/>
      <c r="AB18" s="29"/>
      <c r="AC18" s="29"/>
    </row>
    <row r="19" s="55" customFormat="1" customHeight="1" spans="1:29">
      <c r="A19" s="27"/>
      <c r="B19" s="71"/>
      <c r="C19" s="25"/>
      <c r="D19" s="25"/>
      <c r="E19" s="72">
        <v>1</v>
      </c>
      <c r="F19" s="72">
        <v>2</v>
      </c>
      <c r="G19" s="72">
        <v>3</v>
      </c>
      <c r="H19" s="72">
        <v>4</v>
      </c>
      <c r="I19" s="72">
        <v>5</v>
      </c>
      <c r="J19" s="72">
        <v>6</v>
      </c>
      <c r="K19" s="72">
        <v>7</v>
      </c>
      <c r="L19" s="72">
        <v>8</v>
      </c>
      <c r="M19" s="72">
        <v>9</v>
      </c>
      <c r="N19" s="72">
        <v>10</v>
      </c>
      <c r="O19" s="72">
        <v>11</v>
      </c>
      <c r="P19" s="72">
        <v>12</v>
      </c>
      <c r="Q19" s="72">
        <v>13</v>
      </c>
      <c r="R19" s="72">
        <v>14</v>
      </c>
      <c r="S19" s="72">
        <v>15</v>
      </c>
      <c r="T19" s="72">
        <v>16</v>
      </c>
      <c r="U19" s="72">
        <v>17</v>
      </c>
      <c r="V19" s="72">
        <v>18</v>
      </c>
      <c r="W19" s="72">
        <v>19</v>
      </c>
      <c r="X19" s="72">
        <v>20</v>
      </c>
      <c r="Y19" s="72">
        <v>21</v>
      </c>
      <c r="Z19" s="72"/>
      <c r="AA19" s="72"/>
      <c r="AB19" s="72"/>
      <c r="AC19" s="72"/>
    </row>
    <row r="20" s="55" customFormat="1" ht="44.25" customHeight="1" spans="1:29">
      <c r="A20" s="27"/>
      <c r="B20" s="71" t="s">
        <v>335</v>
      </c>
      <c r="C20" s="29"/>
      <c r="D20" s="29"/>
      <c r="E20" s="73" t="str">
        <f t="shared" ref="E20:L20" si="48">IF(E18&lt;0,"",IF(E17&lt;E18,"",E19-E18/D17))</f>
        <v/>
      </c>
      <c r="F20" s="73" t="str">
        <f t="shared" si="48"/>
        <v/>
      </c>
      <c r="G20" s="73" t="str">
        <f t="shared" si="48"/>
        <v/>
      </c>
      <c r="H20" s="73" t="str">
        <f t="shared" si="48"/>
        <v/>
      </c>
      <c r="I20" s="73" t="str">
        <f t="shared" si="48"/>
        <v/>
      </c>
      <c r="J20" s="73" t="str">
        <f t="shared" si="48"/>
        <v/>
      </c>
      <c r="K20" s="73" t="str">
        <f t="shared" si="48"/>
        <v/>
      </c>
      <c r="L20" s="73" t="str">
        <f t="shared" si="48"/>
        <v/>
      </c>
      <c r="M20" s="73" t="str">
        <f t="shared" ref="M20:Y20" si="49">IF(M18&lt;0,"",IF(M17&lt;M18,"",M19-M18/L17))</f>
        <v/>
      </c>
      <c r="N20" s="73">
        <f t="shared" si="49"/>
        <v>9.53426897419694</v>
      </c>
      <c r="O20" s="73" t="str">
        <f t="shared" si="49"/>
        <v/>
      </c>
      <c r="P20" s="73" t="str">
        <f t="shared" si="49"/>
        <v/>
      </c>
      <c r="Q20" s="73" t="str">
        <f t="shared" si="49"/>
        <v/>
      </c>
      <c r="R20" s="73" t="str">
        <f t="shared" si="49"/>
        <v/>
      </c>
      <c r="S20" s="73" t="str">
        <f t="shared" si="49"/>
        <v/>
      </c>
      <c r="T20" s="73" t="str">
        <f t="shared" si="49"/>
        <v/>
      </c>
      <c r="U20" s="73" t="str">
        <f t="shared" si="49"/>
        <v/>
      </c>
      <c r="V20" s="73" t="str">
        <f t="shared" si="49"/>
        <v/>
      </c>
      <c r="W20" s="73" t="str">
        <f t="shared" si="49"/>
        <v/>
      </c>
      <c r="X20" s="73" t="str">
        <f t="shared" si="49"/>
        <v/>
      </c>
      <c r="Y20" s="73" t="str">
        <f t="shared" si="49"/>
        <v/>
      </c>
      <c r="Z20" s="73"/>
      <c r="AA20" s="73"/>
      <c r="AB20" s="73"/>
      <c r="AC20" s="73"/>
    </row>
    <row r="21" s="55" customFormat="1" ht="15" customHeight="1" spans="1:16">
      <c r="A21" s="66"/>
      <c r="B21" s="66" t="s">
        <v>336</v>
      </c>
      <c r="C21" s="74" t="s">
        <v>337</v>
      </c>
      <c r="D21" s="75"/>
      <c r="E21" s="74" t="s">
        <v>338</v>
      </c>
      <c r="F21" s="75"/>
      <c r="G21" s="75"/>
      <c r="H21" s="75"/>
      <c r="I21" s="86"/>
      <c r="J21" s="75"/>
      <c r="K21" s="75"/>
      <c r="L21" s="75"/>
      <c r="M21" s="75"/>
      <c r="N21" s="75"/>
      <c r="O21" s="75"/>
      <c r="P21" s="75"/>
    </row>
    <row r="22" s="55" customFormat="1" ht="15" customHeight="1" spans="1:16">
      <c r="A22" s="66"/>
      <c r="B22" s="76" t="s">
        <v>339</v>
      </c>
      <c r="C22" s="77">
        <f>IRR(D12:Y12)</f>
        <v>0.0992419374662301</v>
      </c>
      <c r="D22" s="78"/>
      <c r="E22" s="77">
        <f>IRR(D17:AC17)</f>
        <v>0.0803239385684029</v>
      </c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</row>
    <row r="23" s="55" customFormat="1" ht="15" customHeight="1" spans="1:16">
      <c r="A23" s="66"/>
      <c r="B23" s="76" t="s">
        <v>340</v>
      </c>
      <c r="C23" s="79">
        <f>NPV(C25,D12:AB12)</f>
        <v>27.2271423477326</v>
      </c>
      <c r="D23" s="78"/>
      <c r="E23" s="79">
        <f>NPV(C25,D17:AB17)</f>
        <v>0.435473969461052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</row>
    <row r="24" s="55" customFormat="1" ht="15" customHeight="1" spans="1:16">
      <c r="A24" s="66"/>
      <c r="B24" s="76" t="s">
        <v>297</v>
      </c>
      <c r="C24" s="80">
        <f>MAX(E15:AB15)</f>
        <v>8.47162583133027</v>
      </c>
      <c r="D24" s="78"/>
      <c r="E24" s="80">
        <f>MAX(E20:AC20,D47:P47)</f>
        <v>9.53426897419694</v>
      </c>
      <c r="F24" s="75" t="s">
        <v>341</v>
      </c>
      <c r="G24" s="75"/>
      <c r="H24" s="75"/>
      <c r="I24" s="75"/>
      <c r="J24" s="75"/>
      <c r="K24" s="75"/>
      <c r="L24" s="75"/>
      <c r="M24" s="75"/>
      <c r="N24" s="75"/>
      <c r="O24" s="75"/>
      <c r="P24" s="75"/>
    </row>
    <row r="25" s="55" customFormat="1" ht="15" customHeight="1" spans="1:16">
      <c r="A25" s="66"/>
      <c r="B25" s="76" t="s">
        <v>342</v>
      </c>
      <c r="C25" s="81">
        <v>0.08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</row>
    <row r="26" s="55" customFormat="1" ht="15" customHeight="1" spans="1:16">
      <c r="A26" s="66"/>
      <c r="B26" s="6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</row>
    <row r="27" s="55" customFormat="1" ht="15" hidden="1" customHeight="1" spans="1:16">
      <c r="A27" s="66"/>
      <c r="B27" s="49" t="s">
        <v>343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75"/>
      <c r="N27" s="75"/>
      <c r="O27" s="75"/>
      <c r="P27" s="75"/>
    </row>
    <row r="28" s="55" customFormat="1" ht="15" hidden="1" customHeight="1" spans="1:16">
      <c r="A28" s="66"/>
      <c r="B28" s="49" t="s">
        <v>344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75"/>
      <c r="N28" s="75"/>
      <c r="O28" s="75"/>
      <c r="P28" s="75"/>
    </row>
    <row r="29" s="55" customFormat="1" ht="15" hidden="1" customHeight="1" spans="1:16">
      <c r="A29" s="66"/>
      <c r="B29" s="49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75"/>
      <c r="N29" s="75"/>
      <c r="O29" s="75"/>
      <c r="P29" s="75"/>
    </row>
    <row r="30" s="66" customFormat="1" customHeight="1" spans="1:16">
      <c r="A30" s="17" t="s">
        <v>3</v>
      </c>
      <c r="B30" s="18" t="s">
        <v>243</v>
      </c>
      <c r="C30" s="19" t="s">
        <v>102</v>
      </c>
      <c r="D30" s="19" t="s">
        <v>170</v>
      </c>
      <c r="E30" s="19" t="s">
        <v>171</v>
      </c>
      <c r="F30" s="19" t="s">
        <v>172</v>
      </c>
      <c r="G30" s="19" t="s">
        <v>173</v>
      </c>
      <c r="H30" s="19" t="s">
        <v>174</v>
      </c>
      <c r="I30" s="19" t="s">
        <v>175</v>
      </c>
      <c r="J30" s="19" t="s">
        <v>176</v>
      </c>
      <c r="K30" s="19" t="s">
        <v>177</v>
      </c>
      <c r="L30" s="19" t="s">
        <v>178</v>
      </c>
      <c r="M30" s="19"/>
      <c r="N30" s="19"/>
      <c r="O30" s="19"/>
      <c r="P30" s="36"/>
    </row>
    <row r="31" s="67" customFormat="1" customHeight="1" spans="1:16">
      <c r="A31" s="23">
        <v>1</v>
      </c>
      <c r="B31" s="24" t="s">
        <v>285</v>
      </c>
      <c r="C31" s="25">
        <f>C4</f>
        <v>1005.0348369706</v>
      </c>
      <c r="D31" s="25">
        <f>Q4</f>
        <v>44.5024380988957</v>
      </c>
      <c r="E31" s="25">
        <f t="shared" ref="E31:L31" si="50">R4</f>
        <v>42.9724990327696</v>
      </c>
      <c r="F31" s="25">
        <f t="shared" si="50"/>
        <v>52.1521334295261</v>
      </c>
      <c r="G31" s="25">
        <f t="shared" si="50"/>
        <v>50.6221943634</v>
      </c>
      <c r="H31" s="25">
        <f t="shared" si="50"/>
        <v>49.0922552972739</v>
      </c>
      <c r="I31" s="25">
        <f t="shared" si="50"/>
        <v>47.5623162311478</v>
      </c>
      <c r="J31" s="25">
        <f t="shared" si="50"/>
        <v>46.0323771650217</v>
      </c>
      <c r="K31" s="25">
        <f t="shared" si="50"/>
        <v>44.5024380988957</v>
      </c>
      <c r="L31" s="25">
        <f t="shared" si="50"/>
        <v>49.2724990327696</v>
      </c>
      <c r="M31" s="25"/>
      <c r="N31" s="25"/>
      <c r="O31" s="25"/>
      <c r="P31" s="25"/>
    </row>
    <row r="32" s="67" customFormat="1" customHeight="1" spans="1:16">
      <c r="A32" s="23">
        <v>1.1</v>
      </c>
      <c r="B32" s="24" t="s">
        <v>192</v>
      </c>
      <c r="C32" s="25">
        <f>C5</f>
        <v>998.734836970604</v>
      </c>
      <c r="D32" s="25">
        <f>Q5</f>
        <v>44.5024380988957</v>
      </c>
      <c r="E32" s="25">
        <f t="shared" ref="E32:L32" si="51">R5</f>
        <v>42.9724990327696</v>
      </c>
      <c r="F32" s="25">
        <f t="shared" si="51"/>
        <v>52.1521334295261</v>
      </c>
      <c r="G32" s="25">
        <f t="shared" si="51"/>
        <v>50.6221943634</v>
      </c>
      <c r="H32" s="25">
        <f t="shared" si="51"/>
        <v>49.0922552972739</v>
      </c>
      <c r="I32" s="25">
        <f t="shared" si="51"/>
        <v>47.5623162311478</v>
      </c>
      <c r="J32" s="25">
        <f t="shared" si="51"/>
        <v>46.0323771650217</v>
      </c>
      <c r="K32" s="25">
        <f t="shared" si="51"/>
        <v>44.5024380988957</v>
      </c>
      <c r="L32" s="25">
        <f t="shared" si="51"/>
        <v>42.9724990327696</v>
      </c>
      <c r="M32" s="25"/>
      <c r="N32" s="25"/>
      <c r="O32" s="25"/>
      <c r="P32" s="25"/>
    </row>
    <row r="33" s="67" customFormat="1" customHeight="1" spans="1:16">
      <c r="A33" s="23">
        <v>1.2</v>
      </c>
      <c r="B33" s="24" t="s">
        <v>286</v>
      </c>
      <c r="C33" s="25">
        <f>C6</f>
        <v>6.30000000000004</v>
      </c>
      <c r="D33" s="25">
        <f>Q6</f>
        <v>0</v>
      </c>
      <c r="E33" s="25">
        <f t="shared" ref="E33" si="52">E6</f>
        <v>0</v>
      </c>
      <c r="F33" s="25">
        <f t="shared" ref="F33" si="53">S6</f>
        <v>0</v>
      </c>
      <c r="G33" s="25">
        <f t="shared" ref="G33" si="54">G6</f>
        <v>0</v>
      </c>
      <c r="H33" s="25">
        <f t="shared" ref="H33" si="55">U6</f>
        <v>0</v>
      </c>
      <c r="I33" s="25">
        <f t="shared" ref="I33" si="56">I6</f>
        <v>0</v>
      </c>
      <c r="J33" s="25">
        <f t="shared" ref="J33" si="57">W6</f>
        <v>0</v>
      </c>
      <c r="K33" s="25">
        <f>K6</f>
        <v>0</v>
      </c>
      <c r="L33" s="25">
        <f>Y6</f>
        <v>6.30000000000004</v>
      </c>
      <c r="M33" s="25"/>
      <c r="N33" s="25"/>
      <c r="O33" s="25"/>
      <c r="P33" s="25"/>
    </row>
    <row r="34" s="67" customFormat="1" customHeight="1" spans="1:16">
      <c r="A34" s="23">
        <v>2</v>
      </c>
      <c r="B34" s="26" t="s">
        <v>287</v>
      </c>
      <c r="C34" s="25">
        <f t="shared" ref="C34:C44" si="58">C7</f>
        <v>733.513330314597</v>
      </c>
      <c r="D34" s="25">
        <f t="shared" ref="D34:D45" si="59">Q7</f>
        <v>24.5873255529335</v>
      </c>
      <c r="E34" s="25">
        <f t="shared" ref="E34:E45" si="60">R7</f>
        <v>23.7836418638399</v>
      </c>
      <c r="F34" s="25">
        <f t="shared" ref="F34:F45" si="61">S7</f>
        <v>28.6057439984016</v>
      </c>
      <c r="G34" s="25">
        <f t="shared" ref="G34:G45" si="62">T7</f>
        <v>27.802060309308</v>
      </c>
      <c r="H34" s="25">
        <f t="shared" ref="H34:H45" si="63">U7</f>
        <v>26.9983766202144</v>
      </c>
      <c r="I34" s="25">
        <f t="shared" ref="I34:I45" si="64">V7</f>
        <v>26.1946929311207</v>
      </c>
      <c r="J34" s="25">
        <f t="shared" ref="J34:J45" si="65">W7</f>
        <v>25.3910092420271</v>
      </c>
      <c r="K34" s="25">
        <f t="shared" ref="K34:K45" si="66">X7</f>
        <v>24.5873255529335</v>
      </c>
      <c r="L34" s="25">
        <f t="shared" ref="L34:L45" si="67">Y7</f>
        <v>23.7836418638399</v>
      </c>
      <c r="M34" s="25"/>
      <c r="N34" s="25"/>
      <c r="O34" s="25"/>
      <c r="P34" s="25"/>
    </row>
    <row r="35" s="67" customFormat="1" customHeight="1" spans="1:16">
      <c r="A35" s="23">
        <v>2.1</v>
      </c>
      <c r="B35" s="24" t="s">
        <v>328</v>
      </c>
      <c r="C35" s="25">
        <f t="shared" si="58"/>
        <v>210</v>
      </c>
      <c r="D35" s="25">
        <f t="shared" si="59"/>
        <v>0</v>
      </c>
      <c r="E35" s="25">
        <f t="shared" si="60"/>
        <v>0</v>
      </c>
      <c r="F35" s="25">
        <f t="shared" si="61"/>
        <v>0</v>
      </c>
      <c r="G35" s="25">
        <f t="shared" si="62"/>
        <v>0</v>
      </c>
      <c r="H35" s="25">
        <f t="shared" si="63"/>
        <v>0</v>
      </c>
      <c r="I35" s="25">
        <f t="shared" si="64"/>
        <v>0</v>
      </c>
      <c r="J35" s="25">
        <f t="shared" si="65"/>
        <v>0</v>
      </c>
      <c r="K35" s="25">
        <f t="shared" si="66"/>
        <v>0</v>
      </c>
      <c r="L35" s="25">
        <f t="shared" si="67"/>
        <v>0</v>
      </c>
      <c r="M35" s="25"/>
      <c r="N35" s="25"/>
      <c r="O35" s="25"/>
      <c r="P35" s="25"/>
    </row>
    <row r="36" s="67" customFormat="1" customHeight="1" spans="1:16">
      <c r="A36" s="23">
        <v>2.3</v>
      </c>
      <c r="B36" s="24" t="s">
        <v>291</v>
      </c>
      <c r="C36" s="25">
        <f t="shared" si="58"/>
        <v>420.721280107734</v>
      </c>
      <c r="D36" s="25">
        <f t="shared" si="59"/>
        <v>18.823299538284</v>
      </c>
      <c r="E36" s="25">
        <f t="shared" si="60"/>
        <v>18.2177759715275</v>
      </c>
      <c r="F36" s="25">
        <f t="shared" si="61"/>
        <v>21.8509173720662</v>
      </c>
      <c r="G36" s="25">
        <f t="shared" si="62"/>
        <v>21.2453938053097</v>
      </c>
      <c r="H36" s="25">
        <f t="shared" si="63"/>
        <v>20.6398702385533</v>
      </c>
      <c r="I36" s="25">
        <f t="shared" si="64"/>
        <v>20.0343466717969</v>
      </c>
      <c r="J36" s="25">
        <f t="shared" si="65"/>
        <v>19.4288231050404</v>
      </c>
      <c r="K36" s="25">
        <f t="shared" si="66"/>
        <v>18.823299538284</v>
      </c>
      <c r="L36" s="25">
        <f t="shared" si="67"/>
        <v>18.2177759715275</v>
      </c>
      <c r="M36" s="25"/>
      <c r="N36" s="25"/>
      <c r="O36" s="25"/>
      <c r="P36" s="25"/>
    </row>
    <row r="37" s="67" customFormat="1" customHeight="1" spans="1:16">
      <c r="A37" s="23">
        <v>2.4</v>
      </c>
      <c r="B37" s="26" t="s">
        <v>207</v>
      </c>
      <c r="C37" s="25">
        <f t="shared" si="58"/>
        <v>9.34473183698761</v>
      </c>
      <c r="D37" s="25">
        <f t="shared" si="59"/>
        <v>0.524002364968142</v>
      </c>
      <c r="E37" s="25">
        <f t="shared" si="60"/>
        <v>0.505987808392036</v>
      </c>
      <c r="F37" s="25">
        <f t="shared" si="61"/>
        <v>0.614075147848673</v>
      </c>
      <c r="G37" s="25">
        <f t="shared" si="62"/>
        <v>0.596060591272566</v>
      </c>
      <c r="H37" s="25">
        <f t="shared" si="63"/>
        <v>0.57804603469646</v>
      </c>
      <c r="I37" s="25">
        <f t="shared" si="64"/>
        <v>0.560031478120354</v>
      </c>
      <c r="J37" s="25">
        <f t="shared" si="65"/>
        <v>0.542016921544248</v>
      </c>
      <c r="K37" s="25">
        <f t="shared" si="66"/>
        <v>0.524002364968142</v>
      </c>
      <c r="L37" s="25">
        <f t="shared" si="67"/>
        <v>0.505987808392036</v>
      </c>
      <c r="M37" s="25"/>
      <c r="N37" s="25"/>
      <c r="O37" s="25"/>
      <c r="P37" s="25"/>
    </row>
    <row r="38" s="67" customFormat="1" customHeight="1" spans="1:16">
      <c r="A38" s="23">
        <v>2.5</v>
      </c>
      <c r="B38" s="26" t="s">
        <v>212</v>
      </c>
      <c r="C38" s="25">
        <f t="shared" si="58"/>
        <v>93.4473183698761</v>
      </c>
      <c r="D38" s="25">
        <f t="shared" si="59"/>
        <v>5.24002364968142</v>
      </c>
      <c r="E38" s="25">
        <f t="shared" si="60"/>
        <v>5.05987808392036</v>
      </c>
      <c r="F38" s="25">
        <f t="shared" si="61"/>
        <v>6.14075147848673</v>
      </c>
      <c r="G38" s="25">
        <f t="shared" si="62"/>
        <v>5.96060591272566</v>
      </c>
      <c r="H38" s="25">
        <f t="shared" si="63"/>
        <v>5.7804603469646</v>
      </c>
      <c r="I38" s="25">
        <f t="shared" si="64"/>
        <v>5.60031478120354</v>
      </c>
      <c r="J38" s="25">
        <f t="shared" si="65"/>
        <v>5.42016921544248</v>
      </c>
      <c r="K38" s="25">
        <f t="shared" si="66"/>
        <v>5.24002364968142</v>
      </c>
      <c r="L38" s="25">
        <f t="shared" si="67"/>
        <v>5.05987808392036</v>
      </c>
      <c r="M38" s="25"/>
      <c r="N38" s="25"/>
      <c r="O38" s="25"/>
      <c r="P38" s="25"/>
    </row>
    <row r="39" s="67" customFormat="1" customHeight="1" spans="1:16">
      <c r="A39" s="23">
        <v>3</v>
      </c>
      <c r="B39" s="26" t="s">
        <v>329</v>
      </c>
      <c r="C39" s="25">
        <f t="shared" si="58"/>
        <v>271.521506656007</v>
      </c>
      <c r="D39" s="25">
        <f t="shared" si="59"/>
        <v>19.9151125459621</v>
      </c>
      <c r="E39" s="25">
        <f t="shared" si="60"/>
        <v>19.1888571689297</v>
      </c>
      <c r="F39" s="25">
        <f t="shared" si="61"/>
        <v>23.5463894311245</v>
      </c>
      <c r="G39" s="25">
        <f t="shared" si="62"/>
        <v>22.820134054092</v>
      </c>
      <c r="H39" s="25">
        <f t="shared" si="63"/>
        <v>22.0938786770596</v>
      </c>
      <c r="I39" s="25">
        <f t="shared" si="64"/>
        <v>21.3676233000271</v>
      </c>
      <c r="J39" s="25">
        <f t="shared" si="65"/>
        <v>20.6413679229946</v>
      </c>
      <c r="K39" s="25">
        <f t="shared" si="66"/>
        <v>19.9151125459621</v>
      </c>
      <c r="L39" s="25">
        <f t="shared" si="67"/>
        <v>25.4888571689297</v>
      </c>
      <c r="M39" s="25"/>
      <c r="N39" s="25"/>
      <c r="O39" s="25"/>
      <c r="P39" s="25"/>
    </row>
    <row r="40" s="67" customFormat="1" customHeight="1" spans="1:16">
      <c r="A40" s="23">
        <v>4</v>
      </c>
      <c r="B40" s="26" t="s">
        <v>330</v>
      </c>
      <c r="C40" s="25">
        <f t="shared" si="58"/>
        <v>0</v>
      </c>
      <c r="D40" s="25">
        <f t="shared" si="59"/>
        <v>96.4592863868876</v>
      </c>
      <c r="E40" s="25">
        <f t="shared" si="60"/>
        <v>115.648143555817</v>
      </c>
      <c r="F40" s="25">
        <f t="shared" si="61"/>
        <v>139.194532986942</v>
      </c>
      <c r="G40" s="25">
        <f t="shared" si="62"/>
        <v>162.014667041034</v>
      </c>
      <c r="H40" s="25">
        <f t="shared" si="63"/>
        <v>184.108545718093</v>
      </c>
      <c r="I40" s="25">
        <f t="shared" si="64"/>
        <v>205.47616901812</v>
      </c>
      <c r="J40" s="25">
        <f t="shared" si="65"/>
        <v>226.117536941115</v>
      </c>
      <c r="K40" s="25">
        <f t="shared" si="66"/>
        <v>246.032649487077</v>
      </c>
      <c r="L40" s="25">
        <f t="shared" si="67"/>
        <v>271.521506656007</v>
      </c>
      <c r="M40" s="25"/>
      <c r="N40" s="25"/>
      <c r="O40" s="25"/>
      <c r="P40" s="25"/>
    </row>
    <row r="41" s="67" customFormat="1" customHeight="1" spans="1:29">
      <c r="A41" s="23"/>
      <c r="B41" s="71"/>
      <c r="C41" s="25">
        <f t="shared" si="58"/>
        <v>0</v>
      </c>
      <c r="D41" s="25">
        <f t="shared" si="59"/>
        <v>13</v>
      </c>
      <c r="E41" s="25">
        <f t="shared" si="60"/>
        <v>14</v>
      </c>
      <c r="F41" s="25">
        <f t="shared" si="61"/>
        <v>15</v>
      </c>
      <c r="G41" s="25">
        <f t="shared" si="62"/>
        <v>16</v>
      </c>
      <c r="H41" s="25">
        <f t="shared" si="63"/>
        <v>17</v>
      </c>
      <c r="I41" s="25">
        <f t="shared" si="64"/>
        <v>18</v>
      </c>
      <c r="J41" s="25">
        <f t="shared" si="65"/>
        <v>19</v>
      </c>
      <c r="K41" s="25">
        <f t="shared" si="66"/>
        <v>20</v>
      </c>
      <c r="L41" s="25">
        <f t="shared" si="67"/>
        <v>21</v>
      </c>
      <c r="M41" s="25"/>
      <c r="N41" s="25"/>
      <c r="O41" s="25"/>
      <c r="P41" s="25"/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7">
        <v>0</v>
      </c>
      <c r="X41" s="87">
        <v>0</v>
      </c>
      <c r="Y41" s="87">
        <v>0</v>
      </c>
      <c r="Z41" s="87">
        <v>0</v>
      </c>
      <c r="AA41" s="87">
        <v>0</v>
      </c>
      <c r="AB41" s="87">
        <v>0</v>
      </c>
      <c r="AC41" s="87">
        <v>0</v>
      </c>
    </row>
    <row r="42" s="67" customFormat="1" customHeight="1" spans="1:16">
      <c r="A42" s="23"/>
      <c r="B42" s="71" t="s">
        <v>331</v>
      </c>
      <c r="C42" s="25">
        <f t="shared" si="58"/>
        <v>0</v>
      </c>
      <c r="D42" s="25" t="str">
        <f t="shared" si="59"/>
        <v/>
      </c>
      <c r="E42" s="25" t="str">
        <f t="shared" si="60"/>
        <v/>
      </c>
      <c r="F42" s="25" t="str">
        <f t="shared" si="61"/>
        <v/>
      </c>
      <c r="G42" s="25" t="str">
        <f t="shared" si="62"/>
        <v/>
      </c>
      <c r="H42" s="25" t="str">
        <f t="shared" si="63"/>
        <v/>
      </c>
      <c r="I42" s="25" t="str">
        <f t="shared" si="64"/>
        <v/>
      </c>
      <c r="J42" s="25" t="str">
        <f t="shared" si="65"/>
        <v/>
      </c>
      <c r="K42" s="25" t="str">
        <f t="shared" si="66"/>
        <v/>
      </c>
      <c r="L42" s="25" t="str">
        <f t="shared" si="67"/>
        <v/>
      </c>
      <c r="M42" s="25"/>
      <c r="N42" s="25"/>
      <c r="O42" s="25"/>
      <c r="P42" s="25"/>
    </row>
    <row r="43" s="67" customFormat="1" customHeight="1" spans="1:16">
      <c r="A43" s="23">
        <v>5</v>
      </c>
      <c r="B43" s="26" t="s">
        <v>332</v>
      </c>
      <c r="C43" s="25">
        <f t="shared" si="58"/>
        <v>67.8803766640017</v>
      </c>
      <c r="D43" s="25">
        <f t="shared" si="59"/>
        <v>1.98643300374717</v>
      </c>
      <c r="E43" s="25">
        <f t="shared" si="60"/>
        <v>1.80486915948906</v>
      </c>
      <c r="F43" s="25">
        <f t="shared" si="61"/>
        <v>2.89425222503776</v>
      </c>
      <c r="G43" s="25">
        <f t="shared" si="62"/>
        <v>5.70503351352301</v>
      </c>
      <c r="H43" s="25">
        <f t="shared" si="63"/>
        <v>5.52346966926489</v>
      </c>
      <c r="I43" s="25">
        <f t="shared" si="64"/>
        <v>5.34190582500677</v>
      </c>
      <c r="J43" s="25">
        <f t="shared" si="65"/>
        <v>5.16034198074865</v>
      </c>
      <c r="K43" s="25">
        <f t="shared" si="66"/>
        <v>4.97877813649053</v>
      </c>
      <c r="L43" s="25">
        <f t="shared" si="67"/>
        <v>4.79721429223242</v>
      </c>
      <c r="M43" s="25"/>
      <c r="N43" s="25"/>
      <c r="O43" s="25"/>
      <c r="P43" s="25"/>
    </row>
    <row r="44" s="67" customFormat="1" customHeight="1" spans="1:16">
      <c r="A44" s="23">
        <v>6</v>
      </c>
      <c r="B44" s="26" t="s">
        <v>333</v>
      </c>
      <c r="C44" s="25">
        <f t="shared" si="58"/>
        <v>203.641129992005</v>
      </c>
      <c r="D44" s="25">
        <f t="shared" si="59"/>
        <v>17.928679542215</v>
      </c>
      <c r="E44" s="25">
        <f t="shared" si="60"/>
        <v>17.3839880094406</v>
      </c>
      <c r="F44" s="25">
        <f t="shared" si="61"/>
        <v>20.6521372060867</v>
      </c>
      <c r="G44" s="25">
        <f t="shared" si="62"/>
        <v>17.115100540569</v>
      </c>
      <c r="H44" s="25">
        <f t="shared" si="63"/>
        <v>16.5704090077947</v>
      </c>
      <c r="I44" s="25">
        <f t="shared" si="64"/>
        <v>16.0257174750203</v>
      </c>
      <c r="J44" s="25">
        <f t="shared" si="65"/>
        <v>15.481025942246</v>
      </c>
      <c r="K44" s="25">
        <f t="shared" si="66"/>
        <v>14.9363344094716</v>
      </c>
      <c r="L44" s="25">
        <f t="shared" si="67"/>
        <v>20.6916428766973</v>
      </c>
      <c r="M44" s="25"/>
      <c r="N44" s="25"/>
      <c r="O44" s="25"/>
      <c r="P44" s="25"/>
    </row>
    <row r="45" s="67" customFormat="1" customHeight="1" spans="1:16">
      <c r="A45" s="27">
        <v>7</v>
      </c>
      <c r="B45" s="28" t="s">
        <v>334</v>
      </c>
      <c r="C45" s="25"/>
      <c r="D45" s="25">
        <f t="shared" si="59"/>
        <v>64.784774524679</v>
      </c>
      <c r="E45" s="25">
        <f t="shared" si="60"/>
        <v>82.1687625341196</v>
      </c>
      <c r="F45" s="25">
        <f t="shared" si="61"/>
        <v>102.820899740206</v>
      </c>
      <c r="G45" s="25">
        <f t="shared" si="62"/>
        <v>119.936000280775</v>
      </c>
      <c r="H45" s="25">
        <f t="shared" si="63"/>
        <v>136.50640928857</v>
      </c>
      <c r="I45" s="25">
        <f t="shared" si="64"/>
        <v>152.53212676359</v>
      </c>
      <c r="J45" s="25">
        <f t="shared" si="65"/>
        <v>168.013152705836</v>
      </c>
      <c r="K45" s="25">
        <f t="shared" si="66"/>
        <v>182.949487115308</v>
      </c>
      <c r="L45" s="25">
        <f t="shared" si="67"/>
        <v>203.641129992005</v>
      </c>
      <c r="M45" s="25"/>
      <c r="N45" s="25"/>
      <c r="O45" s="25"/>
      <c r="P45" s="25"/>
    </row>
    <row r="46" s="67" customFormat="1" hidden="1" customHeight="1" spans="1:16">
      <c r="A46" s="23"/>
      <c r="B46" s="71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s="67" customFormat="1" hidden="1" customHeight="1" spans="1:16">
      <c r="A47" s="27"/>
      <c r="B47" s="71" t="s">
        <v>335</v>
      </c>
      <c r="C47" s="29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="55" customFormat="1" ht="15" hidden="1" customHeight="1" spans="1:16">
      <c r="A48" s="66"/>
      <c r="B48" s="66" t="s">
        <v>336</v>
      </c>
      <c r="C48" s="74"/>
      <c r="D48" s="75"/>
      <c r="E48" s="74"/>
      <c r="F48" s="75"/>
      <c r="G48" s="75"/>
      <c r="H48" s="75"/>
      <c r="I48" s="86"/>
      <c r="J48" s="75"/>
      <c r="K48" s="75"/>
      <c r="L48" s="75"/>
      <c r="M48" s="75"/>
      <c r="N48" s="75"/>
      <c r="O48" s="75"/>
      <c r="P48" s="75"/>
    </row>
    <row r="49" s="55" customFormat="1" ht="15" hidden="1" customHeight="1" spans="1:16">
      <c r="A49" s="66"/>
      <c r="B49" s="76" t="s">
        <v>339</v>
      </c>
      <c r="C49" s="77"/>
      <c r="D49" s="78"/>
      <c r="E49" s="77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</row>
    <row r="50" s="55" customFormat="1" ht="15" hidden="1" customHeight="1" spans="1:16">
      <c r="A50" s="66"/>
      <c r="B50" s="76" t="s">
        <v>340</v>
      </c>
      <c r="C50" s="79"/>
      <c r="D50" s="78"/>
      <c r="E50" s="79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</row>
    <row r="51" s="55" customFormat="1" ht="15" hidden="1" customHeight="1" spans="1:16">
      <c r="A51" s="66"/>
      <c r="B51" s="76" t="s">
        <v>297</v>
      </c>
      <c r="C51" s="83"/>
      <c r="D51" s="83"/>
      <c r="E51" s="83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</row>
    <row r="52" s="55" customFormat="1" ht="15" hidden="1" customHeight="1" spans="1:16">
      <c r="A52" s="66"/>
      <c r="B52" s="76" t="s">
        <v>342</v>
      </c>
      <c r="C52" s="81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</row>
    <row r="53" s="55" customFormat="1" ht="15" customHeight="1" spans="1:16">
      <c r="A53" s="66"/>
      <c r="B53" s="66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</row>
    <row r="54" s="55" customFormat="1" ht="15" customHeight="1" spans="1:16">
      <c r="A54" s="66"/>
      <c r="B54" s="84" t="s">
        <v>343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75"/>
      <c r="N54" s="75"/>
      <c r="O54" s="75"/>
      <c r="P54" s="75"/>
    </row>
    <row r="55" s="67" customFormat="1" ht="13.5" spans="1:16">
      <c r="A55" s="66"/>
      <c r="B55" s="66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</row>
    <row r="56" s="67" customFormat="1" ht="13.5" spans="1:16">
      <c r="A56" s="66"/>
      <c r="B56" s="66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</row>
    <row r="57" s="67" customFormat="1" ht="13.5" spans="1:16">
      <c r="A57" s="66"/>
      <c r="B57" s="66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</row>
    <row r="58" s="67" customFormat="1" ht="13.5" spans="1:16">
      <c r="A58" s="66"/>
      <c r="B58" s="66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</row>
    <row r="59" s="67" customFormat="1" ht="13.5" spans="1:16">
      <c r="A59" s="66"/>
      <c r="B59" s="66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</row>
    <row r="60" s="67" customFormat="1" ht="13.5" spans="1:16">
      <c r="A60" s="66"/>
      <c r="B60" s="10"/>
      <c r="C60" s="10"/>
      <c r="D60" s="10"/>
      <c r="E60" s="10"/>
      <c r="F60" s="10"/>
      <c r="G60" s="10"/>
      <c r="H60" s="10"/>
      <c r="I60" s="85"/>
      <c r="J60" s="85"/>
      <c r="K60" s="85"/>
      <c r="L60" s="85"/>
      <c r="M60" s="85"/>
      <c r="N60" s="85"/>
      <c r="O60" s="85"/>
      <c r="P60" s="85"/>
    </row>
    <row r="61" s="67" customFormat="1" ht="13.5" spans="1:16">
      <c r="A61" s="66"/>
      <c r="B61" s="10"/>
      <c r="C61" s="10"/>
      <c r="D61" s="10"/>
      <c r="E61" s="10"/>
      <c r="F61" s="10"/>
      <c r="G61" s="10"/>
      <c r="H61" s="10"/>
      <c r="I61" s="85"/>
      <c r="J61" s="85"/>
      <c r="K61" s="85"/>
      <c r="L61" s="85"/>
      <c r="M61" s="85"/>
      <c r="N61" s="85"/>
      <c r="O61" s="85"/>
      <c r="P61" s="85"/>
    </row>
    <row r="62" s="67" customFormat="1" ht="13.5" spans="1:16">
      <c r="A62" s="66"/>
      <c r="B62" s="10"/>
      <c r="C62" s="10"/>
      <c r="D62" s="10"/>
      <c r="E62" s="10"/>
      <c r="F62" s="10"/>
      <c r="G62" s="10"/>
      <c r="H62" s="10"/>
      <c r="I62" s="85"/>
      <c r="J62" s="85"/>
      <c r="K62" s="85"/>
      <c r="L62" s="85"/>
      <c r="M62" s="85"/>
      <c r="N62" s="85"/>
      <c r="O62" s="85"/>
      <c r="P62" s="85"/>
    </row>
    <row r="63" s="67" customFormat="1" ht="13.5" spans="1:16">
      <c r="A63" s="66"/>
      <c r="B63" s="10"/>
      <c r="C63" s="10"/>
      <c r="D63" s="10"/>
      <c r="E63" s="10"/>
      <c r="F63" s="10"/>
      <c r="G63" s="10"/>
      <c r="H63" s="10"/>
      <c r="I63" s="85"/>
      <c r="J63" s="85"/>
      <c r="K63" s="85"/>
      <c r="L63" s="85"/>
      <c r="M63" s="85"/>
      <c r="N63" s="85"/>
      <c r="O63" s="85"/>
      <c r="P63" s="85"/>
    </row>
    <row r="64" s="67" customFormat="1" ht="13.5" spans="1:16">
      <c r="A64" s="66"/>
      <c r="B64" s="10"/>
      <c r="C64" s="10"/>
      <c r="D64" s="10"/>
      <c r="E64" s="10"/>
      <c r="F64" s="10"/>
      <c r="G64" s="10"/>
      <c r="H64" s="10"/>
      <c r="I64" s="85"/>
      <c r="J64" s="85"/>
      <c r="K64" s="85"/>
      <c r="L64" s="85"/>
      <c r="M64" s="85"/>
      <c r="N64" s="85"/>
      <c r="O64" s="85"/>
      <c r="P64" s="85"/>
    </row>
    <row r="65" s="67" customFormat="1" ht="13.5" spans="1:16">
      <c r="A65" s="66"/>
      <c r="B65" s="10"/>
      <c r="C65" s="10"/>
      <c r="D65" s="10"/>
      <c r="E65" s="10"/>
      <c r="F65" s="10"/>
      <c r="G65" s="10"/>
      <c r="H65" s="10"/>
      <c r="I65" s="85"/>
      <c r="J65" s="85"/>
      <c r="K65" s="85"/>
      <c r="L65" s="85"/>
      <c r="M65" s="85"/>
      <c r="N65" s="85"/>
      <c r="O65" s="85"/>
      <c r="P65" s="85"/>
    </row>
    <row r="66" s="67" customFormat="1" ht="13.5" spans="1:16">
      <c r="A66" s="66"/>
      <c r="B66" s="10"/>
      <c r="C66" s="10"/>
      <c r="D66" s="10"/>
      <c r="E66" s="10"/>
      <c r="F66" s="10"/>
      <c r="G66" s="10"/>
      <c r="H66" s="10"/>
      <c r="I66" s="85"/>
      <c r="J66" s="85"/>
      <c r="K66" s="85"/>
      <c r="L66" s="85"/>
      <c r="M66" s="85"/>
      <c r="N66" s="85"/>
      <c r="O66" s="85"/>
      <c r="P66" s="85"/>
    </row>
    <row r="67" s="67" customFormat="1" ht="13.5" spans="1:16">
      <c r="A67" s="66"/>
      <c r="B67" s="10"/>
      <c r="C67" s="10"/>
      <c r="D67" s="10"/>
      <c r="E67" s="10"/>
      <c r="F67" s="10"/>
      <c r="G67" s="10"/>
      <c r="H67" s="10"/>
      <c r="I67" s="85"/>
      <c r="J67" s="85"/>
      <c r="K67" s="85"/>
      <c r="L67" s="85"/>
      <c r="M67" s="85"/>
      <c r="N67" s="85"/>
      <c r="O67" s="85"/>
      <c r="P67" s="85"/>
    </row>
    <row r="68" s="67" customFormat="1" ht="13.5" spans="1:16">
      <c r="A68" s="66"/>
      <c r="B68" s="10"/>
      <c r="C68" s="10"/>
      <c r="D68" s="10"/>
      <c r="E68" s="10"/>
      <c r="F68" s="10"/>
      <c r="G68" s="10"/>
      <c r="H68" s="10"/>
      <c r="I68" s="85"/>
      <c r="J68" s="85"/>
      <c r="K68" s="85"/>
      <c r="L68" s="85"/>
      <c r="M68" s="85"/>
      <c r="N68" s="85"/>
      <c r="O68" s="85"/>
      <c r="P68" s="85"/>
    </row>
    <row r="69" s="67" customFormat="1" ht="13.5" spans="1:16">
      <c r="A69" s="66"/>
      <c r="B69" s="10"/>
      <c r="C69" s="10"/>
      <c r="D69" s="10"/>
      <c r="E69" s="10"/>
      <c r="F69" s="10"/>
      <c r="G69" s="10"/>
      <c r="H69" s="10"/>
      <c r="I69" s="85"/>
      <c r="J69" s="85"/>
      <c r="K69" s="85"/>
      <c r="L69" s="85"/>
      <c r="M69" s="85"/>
      <c r="N69" s="85"/>
      <c r="O69" s="85"/>
      <c r="P69" s="85"/>
    </row>
    <row r="70" s="67" customFormat="1" ht="13.5" spans="1:16">
      <c r="A70" s="66"/>
      <c r="B70" s="10"/>
      <c r="C70" s="10"/>
      <c r="D70" s="10"/>
      <c r="E70" s="10"/>
      <c r="F70" s="10"/>
      <c r="G70" s="10"/>
      <c r="H70" s="10"/>
      <c r="I70" s="85"/>
      <c r="J70" s="85"/>
      <c r="K70" s="85"/>
      <c r="L70" s="85"/>
      <c r="M70" s="85"/>
      <c r="N70" s="85"/>
      <c r="O70" s="85"/>
      <c r="P70" s="85"/>
    </row>
    <row r="71" s="67" customFormat="1" ht="13.5" spans="1:16">
      <c r="A71" s="66"/>
      <c r="B71" s="10"/>
      <c r="C71" s="10"/>
      <c r="D71" s="10"/>
      <c r="E71" s="10"/>
      <c r="F71" s="10"/>
      <c r="G71" s="10"/>
      <c r="H71" s="10"/>
      <c r="I71" s="85"/>
      <c r="J71" s="85"/>
      <c r="K71" s="85"/>
      <c r="L71" s="85"/>
      <c r="M71" s="85"/>
      <c r="N71" s="85"/>
      <c r="O71" s="85"/>
      <c r="P71" s="85"/>
    </row>
    <row r="72" s="67" customFormat="1" ht="13.5" spans="1:16">
      <c r="A72" s="66"/>
      <c r="B72" s="10"/>
      <c r="C72" s="10"/>
      <c r="D72" s="10"/>
      <c r="E72" s="10"/>
      <c r="F72" s="10"/>
      <c r="G72" s="10"/>
      <c r="H72" s="10"/>
      <c r="I72" s="85"/>
      <c r="J72" s="85"/>
      <c r="K72" s="85"/>
      <c r="L72" s="85"/>
      <c r="M72" s="85"/>
      <c r="N72" s="85"/>
      <c r="O72" s="85"/>
      <c r="P72" s="85"/>
    </row>
    <row r="73" spans="2:8">
      <c r="B73" s="11"/>
      <c r="C73" s="12"/>
      <c r="D73" s="12"/>
      <c r="E73" s="12"/>
      <c r="F73" s="12"/>
      <c r="G73" s="12"/>
      <c r="H73" s="12"/>
    </row>
    <row r="74" ht="14.25" spans="2:8">
      <c r="B74" s="12"/>
      <c r="C74" s="12"/>
      <c r="D74" s="12"/>
      <c r="E74" s="12"/>
      <c r="F74" s="12"/>
      <c r="G74" s="12"/>
      <c r="H74" s="12"/>
    </row>
    <row r="75" ht="14.25" spans="2:8">
      <c r="B75" s="12"/>
      <c r="C75" s="12"/>
      <c r="D75" s="12"/>
      <c r="E75" s="12"/>
      <c r="F75" s="12"/>
      <c r="G75" s="12"/>
      <c r="H75" s="12"/>
    </row>
  </sheetData>
  <sheetProtection selectLockedCells="1" autoFilter="0"/>
  <mergeCells count="7">
    <mergeCell ref="A1:P1"/>
    <mergeCell ref="A2:P2"/>
    <mergeCell ref="B27:L27"/>
    <mergeCell ref="B28:L28"/>
    <mergeCell ref="B54:L54"/>
    <mergeCell ref="B60:H72"/>
    <mergeCell ref="B73:H75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selection activeCell="N15" sqref="N15:T17"/>
    </sheetView>
  </sheetViews>
  <sheetFormatPr defaultColWidth="10" defaultRowHeight="14.25"/>
  <cols>
    <col min="1" max="16384" width="10" style="1"/>
  </cols>
  <sheetData>
    <row r="1" ht="18.75" spans="1:9">
      <c r="A1" s="39" t="s">
        <v>345</v>
      </c>
      <c r="B1" s="39"/>
      <c r="C1" s="39"/>
      <c r="D1" s="39"/>
      <c r="E1" s="39"/>
      <c r="F1" s="39"/>
      <c r="G1" s="39"/>
      <c r="H1" s="39"/>
      <c r="I1" s="39"/>
    </row>
    <row r="2" ht="15" spans="1:20">
      <c r="A2" s="31" t="s">
        <v>215</v>
      </c>
      <c r="B2" s="31"/>
      <c r="C2" s="31"/>
      <c r="D2" s="31"/>
      <c r="E2" s="31"/>
      <c r="F2" s="31"/>
      <c r="G2" s="31"/>
      <c r="H2" s="31"/>
      <c r="I2" s="31"/>
      <c r="N2" s="10"/>
      <c r="O2" s="10"/>
      <c r="P2" s="10"/>
      <c r="Q2" s="10"/>
      <c r="R2" s="10"/>
      <c r="S2" s="10"/>
      <c r="T2" s="10"/>
    </row>
    <row r="3" spans="1:20">
      <c r="A3" s="57" t="s">
        <v>3</v>
      </c>
      <c r="B3" s="58" t="s">
        <v>4</v>
      </c>
      <c r="C3" s="58" t="s">
        <v>102</v>
      </c>
      <c r="D3" s="58" t="s">
        <v>128</v>
      </c>
      <c r="E3" s="58" t="s">
        <v>158</v>
      </c>
      <c r="F3" s="58" t="s">
        <v>159</v>
      </c>
      <c r="G3" s="58" t="s">
        <v>160</v>
      </c>
      <c r="H3" s="58" t="s">
        <v>161</v>
      </c>
      <c r="I3" s="62" t="s">
        <v>162</v>
      </c>
      <c r="N3" s="10"/>
      <c r="O3" s="10"/>
      <c r="P3" s="10"/>
      <c r="Q3" s="10"/>
      <c r="R3" s="10"/>
      <c r="S3" s="10"/>
      <c r="T3" s="10"/>
    </row>
    <row r="4" spans="1:20">
      <c r="A4" s="59">
        <v>1</v>
      </c>
      <c r="B4" s="60" t="s">
        <v>24</v>
      </c>
      <c r="C4" s="61">
        <f>SUM(C5:C7)</f>
        <v>210.9904125</v>
      </c>
      <c r="D4" s="61">
        <f>SUM(D5:D7)</f>
        <v>210.9904125</v>
      </c>
      <c r="E4" s="61">
        <f t="shared" ref="E4:I4" si="0">SUM(E5:E7)</f>
        <v>0</v>
      </c>
      <c r="F4" s="61">
        <f t="shared" si="0"/>
        <v>0</v>
      </c>
      <c r="G4" s="61">
        <f t="shared" si="0"/>
        <v>0</v>
      </c>
      <c r="H4" s="61">
        <f t="shared" si="0"/>
        <v>0</v>
      </c>
      <c r="I4" s="63">
        <f t="shared" si="0"/>
        <v>0</v>
      </c>
      <c r="N4" s="10"/>
      <c r="O4" s="10"/>
      <c r="P4" s="10"/>
      <c r="Q4" s="10"/>
      <c r="R4" s="10"/>
      <c r="S4" s="10"/>
      <c r="T4" s="10"/>
    </row>
    <row r="5" spans="1:20">
      <c r="A5" s="59">
        <v>1.1</v>
      </c>
      <c r="B5" s="60" t="s">
        <v>328</v>
      </c>
      <c r="C5" s="61">
        <f>基础输入数据!D3</f>
        <v>210</v>
      </c>
      <c r="D5" s="61">
        <f>C5</f>
        <v>210</v>
      </c>
      <c r="E5" s="61"/>
      <c r="F5" s="61"/>
      <c r="G5" s="61"/>
      <c r="H5" s="61"/>
      <c r="I5" s="63"/>
      <c r="N5" s="10"/>
      <c r="O5" s="10"/>
      <c r="P5" s="10"/>
      <c r="Q5" s="10"/>
      <c r="R5" s="10"/>
      <c r="S5" s="10"/>
      <c r="T5" s="10"/>
    </row>
    <row r="6" spans="1:20">
      <c r="A6" s="59">
        <v>1.2</v>
      </c>
      <c r="B6" s="60" t="s">
        <v>28</v>
      </c>
      <c r="C6" s="61">
        <f>基础输入数据!K15</f>
        <v>0.9904125</v>
      </c>
      <c r="D6" s="61">
        <f>C6</f>
        <v>0.9904125</v>
      </c>
      <c r="E6" s="61"/>
      <c r="F6" s="61"/>
      <c r="G6" s="61"/>
      <c r="H6" s="61"/>
      <c r="I6" s="63"/>
      <c r="N6" s="10"/>
      <c r="O6" s="10"/>
      <c r="P6" s="10"/>
      <c r="Q6" s="10"/>
      <c r="R6" s="10"/>
      <c r="S6" s="10"/>
      <c r="T6" s="10"/>
    </row>
    <row r="7" spans="1:20">
      <c r="A7" s="59">
        <v>1.3</v>
      </c>
      <c r="B7" s="60" t="s">
        <v>346</v>
      </c>
      <c r="C7" s="61">
        <v>0</v>
      </c>
      <c r="D7" s="61">
        <v>0</v>
      </c>
      <c r="E7" s="61">
        <f>C7</f>
        <v>0</v>
      </c>
      <c r="F7" s="61"/>
      <c r="G7" s="61"/>
      <c r="H7" s="61"/>
      <c r="I7" s="63"/>
      <c r="N7" s="10"/>
      <c r="O7" s="10"/>
      <c r="P7" s="10"/>
      <c r="Q7" s="10"/>
      <c r="R7" s="10"/>
      <c r="S7" s="10"/>
      <c r="T7" s="10"/>
    </row>
    <row r="8" spans="1:20">
      <c r="A8" s="59">
        <v>2</v>
      </c>
      <c r="B8" s="60" t="s">
        <v>347</v>
      </c>
      <c r="C8" s="61">
        <f>C9+C12</f>
        <v>210.9904125</v>
      </c>
      <c r="D8" s="61">
        <f>D9+D12</f>
        <v>210.9904125</v>
      </c>
      <c r="E8" s="61">
        <f>E9+E12</f>
        <v>0</v>
      </c>
      <c r="F8" s="61"/>
      <c r="G8" s="61"/>
      <c r="H8" s="61"/>
      <c r="I8" s="63"/>
      <c r="N8" s="10"/>
      <c r="O8" s="10"/>
      <c r="P8" s="10"/>
      <c r="Q8" s="10"/>
      <c r="R8" s="10"/>
      <c r="S8" s="10"/>
      <c r="T8" s="10"/>
    </row>
    <row r="9" spans="1:20">
      <c r="A9" s="59">
        <v>2.1</v>
      </c>
      <c r="B9" s="60" t="s">
        <v>288</v>
      </c>
      <c r="C9" s="61">
        <f>C10+C11</f>
        <v>63</v>
      </c>
      <c r="D9" s="61">
        <f>D10+D11</f>
        <v>63</v>
      </c>
      <c r="E9" s="61">
        <f>SUM(E10:E11)</f>
        <v>0</v>
      </c>
      <c r="F9" s="61">
        <f>SUM(F10:F11)</f>
        <v>0</v>
      </c>
      <c r="G9" s="61">
        <f>SUM(G10:G11)</f>
        <v>0</v>
      </c>
      <c r="H9" s="61">
        <f>SUM(H10:H11)</f>
        <v>0</v>
      </c>
      <c r="I9" s="63">
        <f>SUM(I10:I11)</f>
        <v>0</v>
      </c>
      <c r="N9" s="10"/>
      <c r="O9" s="10"/>
      <c r="P9" s="10"/>
      <c r="Q9" s="10"/>
      <c r="R9" s="10"/>
      <c r="S9" s="10"/>
      <c r="T9" s="10"/>
    </row>
    <row r="10" spans="1:20">
      <c r="A10" s="59" t="s">
        <v>348</v>
      </c>
      <c r="B10" s="60" t="s">
        <v>349</v>
      </c>
      <c r="C10" s="61">
        <f>基础输入数据!D3*基础输入数据!K8</f>
        <v>63</v>
      </c>
      <c r="D10" s="61">
        <f>C10</f>
        <v>63</v>
      </c>
      <c r="E10" s="61"/>
      <c r="F10" s="61"/>
      <c r="G10" s="61"/>
      <c r="H10" s="61"/>
      <c r="I10" s="63"/>
      <c r="N10" s="10"/>
      <c r="O10" s="10"/>
      <c r="P10" s="10"/>
      <c r="Q10" s="10"/>
      <c r="R10" s="10"/>
      <c r="S10" s="10"/>
      <c r="T10" s="10"/>
    </row>
    <row r="11" spans="1:20">
      <c r="A11" s="59" t="s">
        <v>350</v>
      </c>
      <c r="B11" s="60" t="s">
        <v>351</v>
      </c>
      <c r="C11" s="61">
        <v>0</v>
      </c>
      <c r="D11" s="61">
        <v>0</v>
      </c>
      <c r="E11" s="61">
        <f>C11</f>
        <v>0</v>
      </c>
      <c r="F11" s="61"/>
      <c r="G11" s="61"/>
      <c r="H11" s="61"/>
      <c r="I11" s="63"/>
      <c r="N11" s="10"/>
      <c r="O11" s="10"/>
      <c r="P11" s="10"/>
      <c r="Q11" s="10"/>
      <c r="R11" s="10"/>
      <c r="S11" s="10"/>
      <c r="T11" s="10"/>
    </row>
    <row r="12" spans="1:20">
      <c r="A12" s="59">
        <v>2.2</v>
      </c>
      <c r="B12" s="60" t="s">
        <v>352</v>
      </c>
      <c r="C12" s="61">
        <f>C13+C16</f>
        <v>147.9904125</v>
      </c>
      <c r="D12" s="61">
        <f>D13+D16</f>
        <v>147.9904125</v>
      </c>
      <c r="E12" s="61">
        <f t="shared" ref="E12:I12" si="1">SUM(E13:E16)</f>
        <v>0</v>
      </c>
      <c r="F12" s="61">
        <f t="shared" si="1"/>
        <v>0</v>
      </c>
      <c r="G12" s="61">
        <f t="shared" si="1"/>
        <v>0</v>
      </c>
      <c r="H12" s="61">
        <f t="shared" si="1"/>
        <v>0</v>
      </c>
      <c r="I12" s="63">
        <f t="shared" si="1"/>
        <v>0</v>
      </c>
      <c r="N12" s="10"/>
      <c r="O12" s="10"/>
      <c r="P12" s="10"/>
      <c r="Q12" s="10"/>
      <c r="R12" s="10"/>
      <c r="S12" s="10"/>
      <c r="T12" s="10"/>
    </row>
    <row r="13" spans="1:20">
      <c r="A13" s="59" t="s">
        <v>353</v>
      </c>
      <c r="B13" s="60" t="s">
        <v>58</v>
      </c>
      <c r="C13" s="61">
        <f>C14+C15</f>
        <v>147.9904125</v>
      </c>
      <c r="D13" s="61">
        <f>C13</f>
        <v>147.9904125</v>
      </c>
      <c r="E13" s="61"/>
      <c r="F13" s="61"/>
      <c r="G13" s="61"/>
      <c r="H13" s="61"/>
      <c r="I13" s="63"/>
      <c r="N13" s="10"/>
      <c r="O13" s="10"/>
      <c r="P13" s="10"/>
      <c r="Q13" s="10"/>
      <c r="R13" s="10"/>
      <c r="S13" s="10"/>
      <c r="T13" s="10"/>
    </row>
    <row r="14" spans="1:20">
      <c r="A14" s="59"/>
      <c r="B14" s="60" t="s">
        <v>354</v>
      </c>
      <c r="C14" s="61">
        <f>基础输入数据!D3*基础输入数据!K7</f>
        <v>147</v>
      </c>
      <c r="D14" s="61">
        <f>C14</f>
        <v>147</v>
      </c>
      <c r="E14" s="61"/>
      <c r="F14" s="61"/>
      <c r="G14" s="61"/>
      <c r="H14" s="61"/>
      <c r="I14" s="63"/>
      <c r="N14" s="10"/>
      <c r="O14" s="10"/>
      <c r="P14" s="10"/>
      <c r="Q14" s="10"/>
      <c r="R14" s="10"/>
      <c r="S14" s="10"/>
      <c r="T14" s="10"/>
    </row>
    <row r="15" spans="1:20">
      <c r="A15" s="59"/>
      <c r="B15" s="60" t="s">
        <v>28</v>
      </c>
      <c r="C15" s="61">
        <f>基础输入数据!K15</f>
        <v>0.9904125</v>
      </c>
      <c r="D15" s="61">
        <f>C15</f>
        <v>0.9904125</v>
      </c>
      <c r="E15" s="61"/>
      <c r="F15" s="61"/>
      <c r="G15" s="61"/>
      <c r="H15" s="61"/>
      <c r="I15" s="63"/>
      <c r="N15" s="11"/>
      <c r="O15" s="12"/>
      <c r="P15" s="12"/>
      <c r="Q15" s="12"/>
      <c r="R15" s="12"/>
      <c r="S15" s="12"/>
      <c r="T15" s="12"/>
    </row>
    <row r="16" customHeight="1" spans="1:20">
      <c r="A16" s="59" t="s">
        <v>355</v>
      </c>
      <c r="B16" s="60" t="s">
        <v>356</v>
      </c>
      <c r="C16" s="61">
        <v>0</v>
      </c>
      <c r="D16" s="61">
        <v>0</v>
      </c>
      <c r="E16" s="61">
        <f>C16</f>
        <v>0</v>
      </c>
      <c r="F16" s="61"/>
      <c r="G16" s="61"/>
      <c r="H16" s="61"/>
      <c r="I16" s="63"/>
      <c r="N16" s="12"/>
      <c r="O16" s="12"/>
      <c r="P16" s="12"/>
      <c r="Q16" s="12"/>
      <c r="R16" s="12"/>
      <c r="S16" s="12"/>
      <c r="T16" s="12"/>
    </row>
    <row r="17" spans="14:20">
      <c r="N17" s="12"/>
      <c r="O17" s="12"/>
      <c r="P17" s="12"/>
      <c r="Q17" s="12"/>
      <c r="R17" s="12"/>
      <c r="S17" s="12"/>
      <c r="T17" s="12"/>
    </row>
  </sheetData>
  <sheetProtection selectLockedCells="1" autoFilter="0"/>
  <mergeCells count="4">
    <mergeCell ref="A1:I1"/>
    <mergeCell ref="A2:I2"/>
    <mergeCell ref="N2:T14"/>
    <mergeCell ref="N15:T17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0"/>
  <sheetViews>
    <sheetView topLeftCell="E43" workbookViewId="0">
      <selection activeCell="F78" sqref="F78:L80"/>
    </sheetView>
  </sheetViews>
  <sheetFormatPr defaultColWidth="10" defaultRowHeight="14.25"/>
  <cols>
    <col min="1" max="1" width="10" style="1"/>
    <col min="2" max="2" width="13.625" style="1" customWidth="1"/>
    <col min="3" max="16384" width="10" style="1"/>
  </cols>
  <sheetData>
    <row r="1" ht="18.75" spans="1:31">
      <c r="A1" s="39" t="s">
        <v>357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51"/>
      <c r="R1" s="51"/>
      <c r="S1" s="51"/>
      <c r="T1" s="51"/>
      <c r="U1" s="51"/>
      <c r="V1" s="51"/>
      <c r="W1" s="51"/>
      <c r="X1" s="51"/>
      <c r="Y1" s="52"/>
      <c r="Z1" s="52"/>
      <c r="AA1" s="52"/>
      <c r="AB1" s="52"/>
      <c r="AC1" s="52"/>
      <c r="AD1" s="52"/>
      <c r="AE1" s="52"/>
    </row>
    <row r="2" ht="15" spans="1:31">
      <c r="A2" s="31" t="s">
        <v>215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1">
      <c r="A3" s="32" t="s">
        <v>3</v>
      </c>
      <c r="B3" s="33" t="s">
        <v>358</v>
      </c>
      <c r="C3" s="33" t="s">
        <v>102</v>
      </c>
      <c r="D3" s="33" t="s">
        <v>128</v>
      </c>
      <c r="E3" s="33" t="s">
        <v>158</v>
      </c>
      <c r="F3" s="33" t="s">
        <v>159</v>
      </c>
      <c r="G3" s="33" t="s">
        <v>160</v>
      </c>
      <c r="H3" s="33" t="s">
        <v>161</v>
      </c>
      <c r="I3" s="33" t="s">
        <v>162</v>
      </c>
      <c r="J3" s="33" t="s">
        <v>163</v>
      </c>
      <c r="K3" s="33" t="s">
        <v>164</v>
      </c>
      <c r="L3" s="33" t="s">
        <v>165</v>
      </c>
      <c r="M3" s="33" t="s">
        <v>166</v>
      </c>
      <c r="N3" s="33" t="s">
        <v>167</v>
      </c>
      <c r="O3" s="33" t="s">
        <v>168</v>
      </c>
      <c r="P3" s="38" t="s">
        <v>169</v>
      </c>
      <c r="Q3" s="33" t="s">
        <v>170</v>
      </c>
      <c r="R3" s="33" t="s">
        <v>171</v>
      </c>
      <c r="S3" s="33" t="s">
        <v>172</v>
      </c>
      <c r="T3" s="33" t="s">
        <v>173</v>
      </c>
      <c r="U3" s="33" t="s">
        <v>174</v>
      </c>
      <c r="V3" s="33" t="s">
        <v>175</v>
      </c>
      <c r="W3" s="33" t="s">
        <v>176</v>
      </c>
      <c r="X3" s="33" t="s">
        <v>177</v>
      </c>
      <c r="Y3" s="33" t="s">
        <v>178</v>
      </c>
      <c r="Z3" s="33" t="s">
        <v>179</v>
      </c>
      <c r="AA3" s="33" t="s">
        <v>180</v>
      </c>
      <c r="AB3" s="38" t="s">
        <v>181</v>
      </c>
      <c r="AC3" s="33" t="s">
        <v>182</v>
      </c>
      <c r="AD3" s="54"/>
      <c r="AE3" s="54"/>
    </row>
    <row r="4" ht="22.5" spans="1:31">
      <c r="A4" s="40">
        <v>1</v>
      </c>
      <c r="B4" s="41" t="s">
        <v>359</v>
      </c>
      <c r="C4" s="42">
        <f>SUM(D4:AC4)</f>
        <v>401.069409920021</v>
      </c>
      <c r="D4" s="34">
        <f t="shared" ref="D4:M4" si="0">D5-D8</f>
        <v>0</v>
      </c>
      <c r="E4" s="34">
        <f t="shared" si="0"/>
        <v>23.0515114627857</v>
      </c>
      <c r="F4" s="34">
        <f t="shared" si="0"/>
        <v>22.4589270026281</v>
      </c>
      <c r="G4" s="34">
        <f t="shared" si="0"/>
        <v>21.8061529175185</v>
      </c>
      <c r="H4" s="34">
        <f t="shared" si="0"/>
        <v>21.1482814212877</v>
      </c>
      <c r="I4" s="34">
        <f t="shared" si="0"/>
        <v>20.1293120360193</v>
      </c>
      <c r="J4" s="34">
        <f t="shared" si="0"/>
        <v>19.4231306108486</v>
      </c>
      <c r="K4" s="34">
        <f t="shared" si="0"/>
        <v>18.7617692615226</v>
      </c>
      <c r="L4" s="34">
        <f t="shared" si="0"/>
        <v>21.9069601385049</v>
      </c>
      <c r="M4" s="34">
        <f t="shared" si="0"/>
        <v>21.2326828326368</v>
      </c>
      <c r="N4" s="34">
        <f t="shared" ref="N4" si="1">N5-N8</f>
        <v>20.551420853599</v>
      </c>
      <c r="O4" s="34">
        <f t="shared" ref="O4" si="2">O5-O8</f>
        <v>19.8627977275076</v>
      </c>
      <c r="P4" s="34">
        <f t="shared" ref="P4" si="3">P5-P8</f>
        <v>19.1664166885364</v>
      </c>
      <c r="Q4" s="34">
        <f t="shared" ref="Q4" si="4">Q5-Q8</f>
        <v>18.4618595851812</v>
      </c>
      <c r="R4" s="34">
        <f t="shared" ref="R4" si="5">R5-R8</f>
        <v>17.7486857275717</v>
      </c>
      <c r="S4" s="34">
        <f t="shared" ref="S4" si="6">S5-S8</f>
        <v>20.8392714020741</v>
      </c>
      <c r="T4" s="34">
        <f t="shared" ref="T4" si="7">T5-T8</f>
        <v>17.115100540569</v>
      </c>
      <c r="U4" s="34">
        <f t="shared" ref="U4" si="8">U5-U8</f>
        <v>16.5704090077947</v>
      </c>
      <c r="V4" s="34">
        <f t="shared" ref="V4" si="9">V5-V8</f>
        <v>16.0257174750203</v>
      </c>
      <c r="W4" s="34">
        <f t="shared" ref="W4" si="10">W5-W8</f>
        <v>15.481025942246</v>
      </c>
      <c r="X4" s="34">
        <f t="shared" ref="X4" si="11">X5-X8</f>
        <v>14.9363344094716</v>
      </c>
      <c r="Y4" s="34">
        <f t="shared" ref="Y4" si="12">Y5-Y8</f>
        <v>14.3916428766973</v>
      </c>
      <c r="Z4" s="34"/>
      <c r="AA4" s="34"/>
      <c r="AB4" s="34"/>
      <c r="AC4" s="34"/>
      <c r="AD4" s="56"/>
      <c r="AE4" s="56">
        <f>R35</f>
        <v>0</v>
      </c>
    </row>
    <row r="5" spans="1:31">
      <c r="A5" s="40">
        <v>1.1</v>
      </c>
      <c r="B5" s="41" t="s">
        <v>285</v>
      </c>
      <c r="C5" s="42">
        <f t="shared" ref="C5:C27" si="13">SUM(D5:AC5)</f>
        <v>881.12822656533</v>
      </c>
      <c r="D5" s="34">
        <f t="shared" ref="D5" si="14">SUM(D6:D6)</f>
        <v>0</v>
      </c>
      <c r="E5" s="34">
        <f>SUM(E6:E7)</f>
        <v>45.9375780675394</v>
      </c>
      <c r="F5" s="34">
        <f t="shared" ref="F5:Y5" si="15">SUM(F6:F7)</f>
        <v>44.6615884506743</v>
      </c>
      <c r="G5" s="34">
        <f t="shared" si="15"/>
        <v>43.3117949503093</v>
      </c>
      <c r="H5" s="34">
        <f t="shared" si="15"/>
        <v>41.9620014499443</v>
      </c>
      <c r="I5" s="34">
        <f t="shared" si="15"/>
        <v>40.6122079495793</v>
      </c>
      <c r="J5" s="34">
        <f t="shared" si="15"/>
        <v>39.2624144492142</v>
      </c>
      <c r="K5" s="34">
        <f t="shared" si="15"/>
        <v>37.9126209488492</v>
      </c>
      <c r="L5" s="34">
        <f t="shared" si="15"/>
        <v>46.0113819510394</v>
      </c>
      <c r="M5" s="34">
        <f t="shared" si="15"/>
        <v>44.6615884506743</v>
      </c>
      <c r="N5" s="34">
        <f t="shared" si="15"/>
        <v>43.3117949503093</v>
      </c>
      <c r="O5" s="34">
        <f t="shared" si="15"/>
        <v>41.9620014499443</v>
      </c>
      <c r="P5" s="34">
        <f t="shared" si="15"/>
        <v>40.6122079495793</v>
      </c>
      <c r="Q5" s="34">
        <f t="shared" si="15"/>
        <v>39.2624144492142</v>
      </c>
      <c r="R5" s="34">
        <f t="shared" si="15"/>
        <v>37.9126209488492</v>
      </c>
      <c r="S5" s="34">
        <f t="shared" si="15"/>
        <v>46.0113819510394</v>
      </c>
      <c r="T5" s="34">
        <f t="shared" si="15"/>
        <v>44.6615884506743</v>
      </c>
      <c r="U5" s="34">
        <f t="shared" si="15"/>
        <v>43.3117949503093</v>
      </c>
      <c r="V5" s="34">
        <f t="shared" si="15"/>
        <v>41.9620014499443</v>
      </c>
      <c r="W5" s="34">
        <f t="shared" si="15"/>
        <v>40.6122079495793</v>
      </c>
      <c r="X5" s="34">
        <f t="shared" si="15"/>
        <v>39.2624144492142</v>
      </c>
      <c r="Y5" s="34">
        <f t="shared" si="15"/>
        <v>37.9126209488492</v>
      </c>
      <c r="Z5" s="34"/>
      <c r="AA5" s="34"/>
      <c r="AB5" s="34"/>
      <c r="AC5" s="34"/>
      <c r="AD5" s="56"/>
      <c r="AE5" s="56">
        <f>R36</f>
        <v>0</v>
      </c>
    </row>
    <row r="6" spans="1:31">
      <c r="A6" s="40" t="s">
        <v>194</v>
      </c>
      <c r="B6" s="41" t="s">
        <v>192</v>
      </c>
      <c r="C6" s="42">
        <f t="shared" si="13"/>
        <v>881.12822656533</v>
      </c>
      <c r="D6" s="42"/>
      <c r="E6" s="42">
        <f>'表5 利润与利润分配表'!D5</f>
        <v>45.9375780675394</v>
      </c>
      <c r="F6" s="42">
        <f>'表5 利润与利润分配表'!E5</f>
        <v>44.6615884506743</v>
      </c>
      <c r="G6" s="42">
        <f>'表5 利润与利润分配表'!F5</f>
        <v>43.3117949503093</v>
      </c>
      <c r="H6" s="42">
        <f>'表5 利润与利润分配表'!G5</f>
        <v>41.9620014499443</v>
      </c>
      <c r="I6" s="42">
        <f>'表5 利润与利润分配表'!H5</f>
        <v>40.6122079495793</v>
      </c>
      <c r="J6" s="42">
        <f>'表5 利润与利润分配表'!I5</f>
        <v>39.2624144492142</v>
      </c>
      <c r="K6" s="42">
        <f>'表5 利润与利润分配表'!J5</f>
        <v>37.9126209488492</v>
      </c>
      <c r="L6" s="42">
        <f>'表5 利润与利润分配表'!K5</f>
        <v>46.0113819510394</v>
      </c>
      <c r="M6" s="42">
        <f>'表5 利润与利润分配表'!L5</f>
        <v>44.6615884506743</v>
      </c>
      <c r="N6" s="42">
        <f>'表5 利润与利润分配表'!M5</f>
        <v>43.3117949503093</v>
      </c>
      <c r="O6" s="42">
        <f>'表5 利润与利润分配表'!N5</f>
        <v>41.9620014499443</v>
      </c>
      <c r="P6" s="42">
        <f>'表5 利润与利润分配表'!O5</f>
        <v>40.6122079495793</v>
      </c>
      <c r="Q6" s="42">
        <f>'表5 利润与利润分配表'!P5</f>
        <v>39.2624144492142</v>
      </c>
      <c r="R6" s="42">
        <f>'表5 利润与利润分配表'!Q5</f>
        <v>37.9126209488492</v>
      </c>
      <c r="S6" s="42">
        <f>'表5 利润与利润分配表'!R5</f>
        <v>46.0113819510394</v>
      </c>
      <c r="T6" s="42">
        <f>'表5 利润与利润分配表'!S5</f>
        <v>44.6615884506743</v>
      </c>
      <c r="U6" s="42">
        <f>'表5 利润与利润分配表'!T5</f>
        <v>43.3117949503093</v>
      </c>
      <c r="V6" s="42">
        <f>'表5 利润与利润分配表'!U5</f>
        <v>41.9620014499443</v>
      </c>
      <c r="W6" s="42">
        <f>'表5 利润与利润分配表'!V5</f>
        <v>40.6122079495793</v>
      </c>
      <c r="X6" s="42">
        <f>'表5 利润与利润分配表'!W5</f>
        <v>39.2624144492142</v>
      </c>
      <c r="Y6" s="42">
        <f>'表5 利润与利润分配表'!X5</f>
        <v>37.9126209488492</v>
      </c>
      <c r="Z6" s="42"/>
      <c r="AA6" s="42"/>
      <c r="AB6" s="42"/>
      <c r="AC6" s="42"/>
      <c r="AD6" s="56"/>
      <c r="AE6" s="56">
        <f>R37</f>
        <v>0</v>
      </c>
    </row>
    <row r="7" spans="1:31">
      <c r="A7" s="40" t="s">
        <v>197</v>
      </c>
      <c r="B7" s="24" t="s">
        <v>286</v>
      </c>
      <c r="C7" s="25">
        <f t="shared" si="13"/>
        <v>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56"/>
      <c r="AE7" s="56"/>
    </row>
    <row r="8" spans="1:31">
      <c r="A8" s="40">
        <v>1.2</v>
      </c>
      <c r="B8" s="41" t="s">
        <v>287</v>
      </c>
      <c r="C8" s="42">
        <f t="shared" si="13"/>
        <v>480.058816645309</v>
      </c>
      <c r="D8" s="34">
        <f t="shared" ref="D8:M8" si="16">SUM(D9:D12)</f>
        <v>0</v>
      </c>
      <c r="E8" s="34">
        <f t="shared" si="16"/>
        <v>22.8860666047536</v>
      </c>
      <c r="F8" s="34">
        <f t="shared" si="16"/>
        <v>22.2026614480463</v>
      </c>
      <c r="G8" s="34">
        <f t="shared" si="16"/>
        <v>21.5056420327908</v>
      </c>
      <c r="H8" s="34">
        <f t="shared" si="16"/>
        <v>20.8137200286566</v>
      </c>
      <c r="I8" s="34">
        <f t="shared" si="16"/>
        <v>20.48289591356</v>
      </c>
      <c r="J8" s="34">
        <f t="shared" si="16"/>
        <v>19.8392838383657</v>
      </c>
      <c r="K8" s="34">
        <f t="shared" si="16"/>
        <v>19.1508516873267</v>
      </c>
      <c r="L8" s="34">
        <f t="shared" si="16"/>
        <v>24.1044218125345</v>
      </c>
      <c r="M8" s="34">
        <f t="shared" si="16"/>
        <v>23.4289056180375</v>
      </c>
      <c r="N8" s="34">
        <f t="shared" ref="N8" si="17">SUM(N9:N12)</f>
        <v>22.7603740967103</v>
      </c>
      <c r="O8" s="34">
        <f t="shared" ref="O8" si="18">SUM(O9:O12)</f>
        <v>22.0992037224367</v>
      </c>
      <c r="P8" s="34">
        <f t="shared" ref="P8" si="19">SUM(P9:P12)</f>
        <v>21.4457912610429</v>
      </c>
      <c r="Q8" s="34">
        <f t="shared" ref="Q8" si="20">SUM(Q9:Q12)</f>
        <v>20.800554864033</v>
      </c>
      <c r="R8" s="34">
        <f t="shared" ref="R8" si="21">SUM(R9:R12)</f>
        <v>20.1639352212775</v>
      </c>
      <c r="S8" s="34">
        <f t="shared" ref="S8" si="22">SUM(S9:S12)</f>
        <v>25.1721105489653</v>
      </c>
      <c r="T8" s="34">
        <f t="shared" ref="T8" si="23">SUM(T9:T12)</f>
        <v>27.5464879101053</v>
      </c>
      <c r="U8" s="34">
        <f t="shared" ref="U8" si="24">SUM(U9:U12)</f>
        <v>26.7413859425146</v>
      </c>
      <c r="V8" s="34">
        <f t="shared" ref="V8" si="25">SUM(V9:V12)</f>
        <v>25.936283974924</v>
      </c>
      <c r="W8" s="34">
        <f t="shared" ref="W8" si="26">SUM(W9:W12)</f>
        <v>25.1311820073333</v>
      </c>
      <c r="X8" s="34">
        <f t="shared" ref="X8" si="27">SUM(X9:X12)</f>
        <v>24.3260800397426</v>
      </c>
      <c r="Y8" s="34">
        <f t="shared" ref="Y8" si="28">SUM(Y9:Y12)</f>
        <v>23.520978072152</v>
      </c>
      <c r="Z8" s="34"/>
      <c r="AA8" s="34"/>
      <c r="AB8" s="34"/>
      <c r="AC8" s="34"/>
      <c r="AD8" s="56"/>
      <c r="AE8" s="56">
        <f>R41</f>
        <v>0</v>
      </c>
    </row>
    <row r="9" spans="1:31">
      <c r="A9" s="40" t="s">
        <v>228</v>
      </c>
      <c r="B9" s="41" t="s">
        <v>291</v>
      </c>
      <c r="C9" s="42">
        <f t="shared" si="13"/>
        <v>420.721280107734</v>
      </c>
      <c r="D9" s="42"/>
      <c r="E9" s="42">
        <f>'表4 总成本费用估算表'!D17</f>
        <v>21.8509173720662</v>
      </c>
      <c r="F9" s="42">
        <f>'表4 总成本费用估算表'!E17</f>
        <v>21.2453938053097</v>
      </c>
      <c r="G9" s="42">
        <f>'表4 总成本费用估算表'!F17</f>
        <v>20.6398702385533</v>
      </c>
      <c r="H9" s="42">
        <f>'表4 总成本费用估算表'!G17</f>
        <v>20.0343466717969</v>
      </c>
      <c r="I9" s="42">
        <f>'表4 总成本费用估算表'!H17</f>
        <v>19.4288231050404</v>
      </c>
      <c r="J9" s="42">
        <f>'表4 总成本费用估算表'!I17</f>
        <v>18.823299538284</v>
      </c>
      <c r="K9" s="42">
        <f>'表4 总成本费用估算表'!J17</f>
        <v>18.2177759715275</v>
      </c>
      <c r="L9" s="42">
        <f>'表4 总成本费用估算表'!K17</f>
        <v>21.8509173720662</v>
      </c>
      <c r="M9" s="42">
        <f>'表4 总成本费用估算表'!L17</f>
        <v>21.2453938053097</v>
      </c>
      <c r="N9" s="42">
        <f>'表4 总成本费用估算表'!M17</f>
        <v>20.6398702385533</v>
      </c>
      <c r="O9" s="42">
        <f>'表4 总成本费用估算表'!N17</f>
        <v>20.0343466717968</v>
      </c>
      <c r="P9" s="42">
        <f>'表4 总成本费用估算表'!O17</f>
        <v>19.4288231050404</v>
      </c>
      <c r="Q9" s="42">
        <f>'表4 总成本费用估算表'!P17</f>
        <v>18.823299538284</v>
      </c>
      <c r="R9" s="42">
        <f>'表4 总成本费用估算表'!Q17</f>
        <v>18.2177759715275</v>
      </c>
      <c r="S9" s="42">
        <f>'表4 总成本费用估算表'!R17</f>
        <v>21.8509173720662</v>
      </c>
      <c r="T9" s="42">
        <f>'表4 总成本费用估算表'!S17</f>
        <v>21.2453938053097</v>
      </c>
      <c r="U9" s="42">
        <f>'表4 总成本费用估算表'!T17</f>
        <v>20.6398702385533</v>
      </c>
      <c r="V9" s="42">
        <f>'表4 总成本费用估算表'!U17</f>
        <v>20.0343466717969</v>
      </c>
      <c r="W9" s="42">
        <f>'表4 总成本费用估算表'!V17</f>
        <v>19.4288231050404</v>
      </c>
      <c r="X9" s="42">
        <f>'表4 总成本费用估算表'!W17</f>
        <v>18.823299538284</v>
      </c>
      <c r="Y9" s="42">
        <f>'表4 总成本费用估算表'!X17</f>
        <v>18.2177759715275</v>
      </c>
      <c r="Z9" s="42"/>
      <c r="AA9" s="42"/>
      <c r="AB9" s="42"/>
      <c r="AC9" s="42"/>
      <c r="AD9" s="56"/>
      <c r="AE9" s="56">
        <f>R42</f>
        <v>0</v>
      </c>
    </row>
    <row r="10" spans="1:31">
      <c r="A10" s="40" t="s">
        <v>232</v>
      </c>
      <c r="B10" s="41" t="s">
        <v>360</v>
      </c>
      <c r="C10" s="42">
        <f t="shared" si="13"/>
        <v>0</v>
      </c>
      <c r="D10" s="42"/>
      <c r="E10" s="42"/>
      <c r="F10" s="43"/>
      <c r="G10" s="43"/>
      <c r="H10" s="43"/>
      <c r="I10" s="43"/>
      <c r="J10" s="43"/>
      <c r="K10" s="43"/>
      <c r="L10" s="43"/>
      <c r="M10" s="42"/>
      <c r="N10" s="43"/>
      <c r="O10" s="43"/>
      <c r="P10" s="43"/>
      <c r="Q10" s="43"/>
      <c r="R10" s="43"/>
      <c r="S10" s="43"/>
      <c r="T10" s="43"/>
      <c r="U10" s="42"/>
      <c r="V10" s="43"/>
      <c r="W10" s="43"/>
      <c r="X10" s="43"/>
      <c r="Y10" s="43"/>
      <c r="Z10" s="43"/>
      <c r="AA10" s="43"/>
      <c r="AB10" s="43"/>
      <c r="AC10" s="42"/>
      <c r="AD10" s="56"/>
      <c r="AE10" s="56">
        <f>R43</f>
        <v>0</v>
      </c>
    </row>
    <row r="11" spans="1:31">
      <c r="A11" s="40" t="s">
        <v>361</v>
      </c>
      <c r="B11" s="41" t="s">
        <v>207</v>
      </c>
      <c r="C11" s="42">
        <f t="shared" si="13"/>
        <v>9.34473183698761</v>
      </c>
      <c r="D11" s="42"/>
      <c r="E11" s="42">
        <f>'表5 利润与利润分配表'!D6</f>
        <v>0</v>
      </c>
      <c r="F11" s="42">
        <f>'表5 利润与利润分配表'!E6</f>
        <v>0</v>
      </c>
      <c r="G11" s="42">
        <f>'表5 利润与利润分配表'!F6</f>
        <v>0</v>
      </c>
      <c r="H11" s="42">
        <f>'表5 利润与利润分配表'!G6</f>
        <v>0</v>
      </c>
      <c r="I11" s="42">
        <f>'表5 利润与利润分配表'!H6</f>
        <v>0.474300969942478</v>
      </c>
      <c r="J11" s="42">
        <f>'表5 利润与利润分配表'!I6</f>
        <v>0.524002364968142</v>
      </c>
      <c r="K11" s="42">
        <f>'表5 利润与利润分配表'!J6</f>
        <v>0.505987808392036</v>
      </c>
      <c r="L11" s="42">
        <f>'表5 利润与利润分配表'!K6</f>
        <v>0.614075147848673</v>
      </c>
      <c r="M11" s="42">
        <f>'表5 利润与利润分配表'!L6</f>
        <v>0.596060591272566</v>
      </c>
      <c r="N11" s="42">
        <f>'表5 利润与利润分配表'!M6</f>
        <v>0.57804603469646</v>
      </c>
      <c r="O11" s="42">
        <f>'表5 利润与利润分配表'!N6</f>
        <v>0.560031478120354</v>
      </c>
      <c r="P11" s="42">
        <f>'表5 利润与利润分配表'!O6</f>
        <v>0.542016921544248</v>
      </c>
      <c r="Q11" s="42">
        <f>'表5 利润与利润分配表'!P6</f>
        <v>0.524002364968142</v>
      </c>
      <c r="R11" s="42">
        <f>'表5 利润与利润分配表'!Q6</f>
        <v>0.505987808392036</v>
      </c>
      <c r="S11" s="42">
        <f>'表5 利润与利润分配表'!R6</f>
        <v>0.614075147848673</v>
      </c>
      <c r="T11" s="42">
        <f>'表5 利润与利润分配表'!S6</f>
        <v>0.596060591272566</v>
      </c>
      <c r="U11" s="42">
        <f>'表5 利润与利润分配表'!T6</f>
        <v>0.57804603469646</v>
      </c>
      <c r="V11" s="42">
        <f>'表5 利润与利润分配表'!U6</f>
        <v>0.560031478120354</v>
      </c>
      <c r="W11" s="42">
        <f>'表5 利润与利润分配表'!V6</f>
        <v>0.542016921544248</v>
      </c>
      <c r="X11" s="42">
        <f>'表5 利润与利润分配表'!W6</f>
        <v>0.524002364968142</v>
      </c>
      <c r="Y11" s="42">
        <f>'表5 利润与利润分配表'!X6</f>
        <v>0.505987808392036</v>
      </c>
      <c r="Z11" s="42"/>
      <c r="AA11" s="42"/>
      <c r="AB11" s="42"/>
      <c r="AC11" s="42"/>
      <c r="AD11" s="56"/>
      <c r="AE11" s="56">
        <f>R44</f>
        <v>0</v>
      </c>
    </row>
    <row r="12" spans="1:31">
      <c r="A12" s="40" t="s">
        <v>362</v>
      </c>
      <c r="B12" s="41" t="s">
        <v>246</v>
      </c>
      <c r="C12" s="42">
        <f t="shared" si="13"/>
        <v>49.9928047005877</v>
      </c>
      <c r="D12" s="42"/>
      <c r="E12" s="42">
        <f>'表5 利润与利润分配表'!D10</f>
        <v>1.03514923268743</v>
      </c>
      <c r="F12" s="42">
        <f>'表5 利润与利润分配表'!E10</f>
        <v>0.957267642736541</v>
      </c>
      <c r="G12" s="42">
        <f>'表5 利润与利润分配表'!F10</f>
        <v>0.865771794237512</v>
      </c>
      <c r="H12" s="42">
        <f>'表5 利润与利润分配表'!G10</f>
        <v>0.779373356859754</v>
      </c>
      <c r="I12" s="42">
        <f>'表5 利润与利润分配表'!H10</f>
        <v>0.579771838577095</v>
      </c>
      <c r="J12" s="42">
        <f>'表5 利润与利润分配表'!I10</f>
        <v>0.491981935113554</v>
      </c>
      <c r="K12" s="42">
        <f>'表5 利润与利润分配表'!J10</f>
        <v>0.42708790740712</v>
      </c>
      <c r="L12" s="42">
        <f>'表5 利润与利润分配表'!K10</f>
        <v>1.63942929261965</v>
      </c>
      <c r="M12" s="42">
        <f>'表5 利润与利润分配表'!L10</f>
        <v>1.58745122145523</v>
      </c>
      <c r="N12" s="42">
        <f>'表5 利润与利润分配表'!M10</f>
        <v>1.54245782346056</v>
      </c>
      <c r="O12" s="42">
        <f>'表5 利润与利润分配表'!N10</f>
        <v>1.50482557251949</v>
      </c>
      <c r="P12" s="42">
        <f>'表5 利润与利润分配表'!O10</f>
        <v>1.4749512344582</v>
      </c>
      <c r="Q12" s="42">
        <f>'表5 利润与利润分配表'!P10</f>
        <v>1.45325296078093</v>
      </c>
      <c r="R12" s="42">
        <f>'表5 利润与利润分配表'!Q10</f>
        <v>1.44017144135797</v>
      </c>
      <c r="S12" s="42">
        <f>'表5 利润与利润分配表'!R10</f>
        <v>2.70711802905045</v>
      </c>
      <c r="T12" s="42">
        <f>'表5 利润与利润分配表'!S10</f>
        <v>5.70503351352301</v>
      </c>
      <c r="U12" s="42">
        <f>'表5 利润与利润分配表'!T10</f>
        <v>5.52346966926489</v>
      </c>
      <c r="V12" s="42">
        <f>'表5 利润与利润分配表'!U10</f>
        <v>5.34190582500677</v>
      </c>
      <c r="W12" s="42">
        <f>'表5 利润与利润分配表'!V10</f>
        <v>5.16034198074865</v>
      </c>
      <c r="X12" s="42">
        <f>'表5 利润与利润分配表'!W10</f>
        <v>4.97877813649053</v>
      </c>
      <c r="Y12" s="42">
        <f>'表5 利润与利润分配表'!X10</f>
        <v>4.79721429223242</v>
      </c>
      <c r="Z12" s="42"/>
      <c r="AA12" s="42"/>
      <c r="AB12" s="42"/>
      <c r="AC12" s="42"/>
      <c r="AD12" s="56"/>
      <c r="AE12" s="56">
        <f>R45</f>
        <v>0</v>
      </c>
    </row>
    <row r="13" ht="22.5" spans="1:31">
      <c r="A13" s="40">
        <v>2</v>
      </c>
      <c r="B13" s="41" t="s">
        <v>363</v>
      </c>
      <c r="C13" s="42">
        <f t="shared" si="13"/>
        <v>-210</v>
      </c>
      <c r="D13" s="34">
        <f t="shared" ref="D13:M13" si="29">D14-D15</f>
        <v>-210</v>
      </c>
      <c r="E13" s="34">
        <f t="shared" si="29"/>
        <v>0</v>
      </c>
      <c r="F13" s="34">
        <f t="shared" si="29"/>
        <v>0</v>
      </c>
      <c r="G13" s="34">
        <f t="shared" si="29"/>
        <v>0</v>
      </c>
      <c r="H13" s="34">
        <f t="shared" si="29"/>
        <v>0</v>
      </c>
      <c r="I13" s="34">
        <f t="shared" si="29"/>
        <v>0</v>
      </c>
      <c r="J13" s="34">
        <f t="shared" si="29"/>
        <v>0</v>
      </c>
      <c r="K13" s="34">
        <f t="shared" si="29"/>
        <v>0</v>
      </c>
      <c r="L13" s="34">
        <f t="shared" si="29"/>
        <v>0</v>
      </c>
      <c r="M13" s="34">
        <f t="shared" si="29"/>
        <v>0</v>
      </c>
      <c r="N13" s="34">
        <f t="shared" ref="N13:T13" si="30">N14-N15</f>
        <v>0</v>
      </c>
      <c r="O13" s="34">
        <f t="shared" si="30"/>
        <v>0</v>
      </c>
      <c r="P13" s="34">
        <f t="shared" si="30"/>
        <v>0</v>
      </c>
      <c r="Q13" s="34">
        <f t="shared" si="30"/>
        <v>0</v>
      </c>
      <c r="R13" s="34">
        <f t="shared" si="30"/>
        <v>0</v>
      </c>
      <c r="S13" s="34">
        <f t="shared" si="30"/>
        <v>0</v>
      </c>
      <c r="T13" s="34">
        <f t="shared" si="30"/>
        <v>0</v>
      </c>
      <c r="U13" s="34">
        <f t="shared" ref="U13:Y13" si="31">U14-U15</f>
        <v>0</v>
      </c>
      <c r="V13" s="34">
        <f t="shared" si="31"/>
        <v>0</v>
      </c>
      <c r="W13" s="34">
        <f t="shared" si="31"/>
        <v>0</v>
      </c>
      <c r="X13" s="34">
        <f t="shared" si="31"/>
        <v>0</v>
      </c>
      <c r="Y13" s="34">
        <f t="shared" si="31"/>
        <v>0</v>
      </c>
      <c r="Z13" s="34"/>
      <c r="AA13" s="34"/>
      <c r="AB13" s="34"/>
      <c r="AC13" s="34"/>
      <c r="AD13" s="56"/>
      <c r="AE13" s="56">
        <f>R47</f>
        <v>0</v>
      </c>
    </row>
    <row r="14" spans="1:31">
      <c r="A14" s="40">
        <v>2.1</v>
      </c>
      <c r="B14" s="41" t="s">
        <v>285</v>
      </c>
      <c r="C14" s="42">
        <f t="shared" si="13"/>
        <v>0</v>
      </c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56"/>
      <c r="AE14" s="56">
        <f>R48</f>
        <v>0</v>
      </c>
    </row>
    <row r="15" spans="1:31">
      <c r="A15" s="40">
        <v>2.2</v>
      </c>
      <c r="B15" s="41" t="s">
        <v>287</v>
      </c>
      <c r="C15" s="42">
        <f t="shared" ref="C15:C26" si="32">SUM(D15:AC15)</f>
        <v>210</v>
      </c>
      <c r="D15" s="34">
        <f t="shared" ref="D15:L15" si="33">SUM(D16:D16)</f>
        <v>210</v>
      </c>
      <c r="E15" s="34">
        <f t="shared" si="33"/>
        <v>0</v>
      </c>
      <c r="F15" s="34">
        <f t="shared" si="33"/>
        <v>0</v>
      </c>
      <c r="G15" s="34">
        <f t="shared" si="33"/>
        <v>0</v>
      </c>
      <c r="H15" s="34">
        <f t="shared" si="33"/>
        <v>0</v>
      </c>
      <c r="I15" s="34">
        <f t="shared" si="33"/>
        <v>0</v>
      </c>
      <c r="J15" s="34">
        <f t="shared" si="33"/>
        <v>0</v>
      </c>
      <c r="K15" s="34">
        <f t="shared" si="33"/>
        <v>0</v>
      </c>
      <c r="L15" s="34">
        <f t="shared" si="33"/>
        <v>0</v>
      </c>
      <c r="M15" s="34">
        <f t="shared" ref="M15" si="34">SUM(M16:M16)</f>
        <v>0</v>
      </c>
      <c r="N15" s="34">
        <f t="shared" ref="N15" si="35">SUM(N16:N16)</f>
        <v>0</v>
      </c>
      <c r="O15" s="34">
        <f t="shared" ref="O15" si="36">SUM(O16:O16)</f>
        <v>0</v>
      </c>
      <c r="P15" s="34">
        <f t="shared" ref="P15" si="37">SUM(P16:P16)</f>
        <v>0</v>
      </c>
      <c r="Q15" s="34">
        <f t="shared" ref="Q15" si="38">SUM(Q16:Q16)</f>
        <v>0</v>
      </c>
      <c r="R15" s="34">
        <f t="shared" ref="R15" si="39">SUM(R16:R16)</f>
        <v>0</v>
      </c>
      <c r="S15" s="34">
        <f t="shared" ref="S15" si="40">SUM(S16:S16)</f>
        <v>0</v>
      </c>
      <c r="T15" s="34">
        <f t="shared" ref="T15" si="41">SUM(T16:T16)</f>
        <v>0</v>
      </c>
      <c r="U15" s="34">
        <f t="shared" ref="U15" si="42">SUM(U16:U16)</f>
        <v>0</v>
      </c>
      <c r="V15" s="34">
        <f t="shared" ref="V15" si="43">SUM(V16:V16)</f>
        <v>0</v>
      </c>
      <c r="W15" s="34">
        <f t="shared" ref="W15" si="44">SUM(W16:W16)</f>
        <v>0</v>
      </c>
      <c r="X15" s="34">
        <f t="shared" ref="X15" si="45">SUM(X16:X16)</f>
        <v>0</v>
      </c>
      <c r="Y15" s="34">
        <f t="shared" ref="Y15" si="46">SUM(Y16:Y16)</f>
        <v>0</v>
      </c>
      <c r="Z15" s="34"/>
      <c r="AA15" s="34"/>
      <c r="AB15" s="34"/>
      <c r="AC15" s="34"/>
      <c r="AD15" s="56"/>
      <c r="AE15" s="56">
        <f>R49</f>
        <v>0</v>
      </c>
    </row>
    <row r="16" spans="1:31">
      <c r="A16" s="40" t="s">
        <v>353</v>
      </c>
      <c r="B16" s="41" t="s">
        <v>328</v>
      </c>
      <c r="C16" s="42">
        <f t="shared" si="32"/>
        <v>210</v>
      </c>
      <c r="D16" s="42">
        <f>'表9 资产负债表'!D7</f>
        <v>210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56"/>
      <c r="AE16" s="56">
        <f>R50</f>
        <v>0</v>
      </c>
    </row>
    <row r="17" ht="22.5" spans="1:31">
      <c r="A17" s="40">
        <v>3</v>
      </c>
      <c r="B17" s="41" t="s">
        <v>364</v>
      </c>
      <c r="C17" s="42">
        <f t="shared" si="32"/>
        <v>-9.54070035365586</v>
      </c>
      <c r="D17" s="34">
        <f>D18-D21</f>
        <v>210</v>
      </c>
      <c r="E17" s="34">
        <f t="shared" ref="E17:L17" si="47">E18-E21</f>
        <v>-14.6360466902437</v>
      </c>
      <c r="F17" s="34">
        <f t="shared" si="47"/>
        <v>-14.6360466902437</v>
      </c>
      <c r="G17" s="34">
        <f t="shared" si="47"/>
        <v>-14.6360466902437</v>
      </c>
      <c r="H17" s="34">
        <f t="shared" si="47"/>
        <v>-14.6360466902437</v>
      </c>
      <c r="I17" s="34">
        <f t="shared" si="47"/>
        <v>-14.6360466902437</v>
      </c>
      <c r="J17" s="34">
        <f t="shared" si="47"/>
        <v>-14.6360466902437</v>
      </c>
      <c r="K17" s="34">
        <f t="shared" si="47"/>
        <v>-14.6360466902437</v>
      </c>
      <c r="L17" s="34">
        <f t="shared" si="47"/>
        <v>-14.6360466902437</v>
      </c>
      <c r="M17" s="34">
        <f t="shared" ref="M17" si="48">M18-M21</f>
        <v>-14.6360466902437</v>
      </c>
      <c r="N17" s="34">
        <f t="shared" ref="N17" si="49">N18-N21</f>
        <v>-14.6360466902437</v>
      </c>
      <c r="O17" s="34">
        <f t="shared" ref="O17" si="50">O18-O21</f>
        <v>-14.6360466902437</v>
      </c>
      <c r="P17" s="34">
        <f t="shared" ref="P17" si="51">P18-P21</f>
        <v>-14.6360466902437</v>
      </c>
      <c r="Q17" s="34">
        <f t="shared" ref="Q17" si="52">Q18-Q21</f>
        <v>-14.6360466902437</v>
      </c>
      <c r="R17" s="34">
        <f t="shared" ref="R17:T17" si="53">R18-R21</f>
        <v>-14.6360466902437</v>
      </c>
      <c r="S17" s="34">
        <f t="shared" si="53"/>
        <v>-14.6360466902437</v>
      </c>
      <c r="T17" s="34">
        <f t="shared" si="53"/>
        <v>0</v>
      </c>
      <c r="U17" s="34">
        <f t="shared" ref="U17" si="54">U18-U21</f>
        <v>0</v>
      </c>
      <c r="V17" s="34">
        <f t="shared" ref="V17" si="55">V18-V21</f>
        <v>0</v>
      </c>
      <c r="W17" s="34">
        <f t="shared" ref="W17" si="56">W18-W21</f>
        <v>0</v>
      </c>
      <c r="X17" s="34">
        <f t="shared" ref="X17" si="57">X18-X21</f>
        <v>0</v>
      </c>
      <c r="Y17" s="34">
        <f t="shared" ref="Y17" si="58">Y18-Y21</f>
        <v>0</v>
      </c>
      <c r="Z17" s="34"/>
      <c r="AA17" s="34"/>
      <c r="AB17" s="34"/>
      <c r="AC17" s="34"/>
      <c r="AD17" s="56"/>
      <c r="AE17" s="56">
        <f>R54</f>
        <v>0</v>
      </c>
    </row>
    <row r="18" spans="1:31">
      <c r="A18" s="40">
        <v>3.1</v>
      </c>
      <c r="B18" s="41" t="s">
        <v>285</v>
      </c>
      <c r="C18" s="42">
        <f t="shared" si="32"/>
        <v>210</v>
      </c>
      <c r="D18" s="34">
        <f t="shared" ref="D18:L18" si="59">SUM(D19:D20)</f>
        <v>210</v>
      </c>
      <c r="E18" s="34">
        <f t="shared" si="59"/>
        <v>0</v>
      </c>
      <c r="F18" s="34">
        <f t="shared" si="59"/>
        <v>0</v>
      </c>
      <c r="G18" s="34">
        <f t="shared" si="59"/>
        <v>0</v>
      </c>
      <c r="H18" s="34">
        <f t="shared" si="59"/>
        <v>0</v>
      </c>
      <c r="I18" s="34">
        <f t="shared" si="59"/>
        <v>0</v>
      </c>
      <c r="J18" s="34">
        <f t="shared" si="59"/>
        <v>0</v>
      </c>
      <c r="K18" s="34">
        <f t="shared" si="59"/>
        <v>0</v>
      </c>
      <c r="L18" s="34">
        <f t="shared" si="59"/>
        <v>0</v>
      </c>
      <c r="M18" s="34">
        <f t="shared" ref="M18" si="60">SUM(M19:M20)</f>
        <v>0</v>
      </c>
      <c r="N18" s="34">
        <f t="shared" ref="N18" si="61">SUM(N19:N20)</f>
        <v>0</v>
      </c>
      <c r="O18" s="34">
        <f t="shared" ref="O18" si="62">SUM(O19:O20)</f>
        <v>0</v>
      </c>
      <c r="P18" s="34">
        <f t="shared" ref="P18" si="63">SUM(P19:P20)</f>
        <v>0</v>
      </c>
      <c r="Q18" s="34">
        <f t="shared" ref="Q18" si="64">SUM(Q19:Q20)</f>
        <v>0</v>
      </c>
      <c r="R18" s="34">
        <f t="shared" ref="R18" si="65">SUM(R19:R20)</f>
        <v>0</v>
      </c>
      <c r="S18" s="34">
        <f t="shared" ref="S18:T18" si="66">SUM(S19:S20)</f>
        <v>0</v>
      </c>
      <c r="T18" s="34">
        <f t="shared" si="66"/>
        <v>0</v>
      </c>
      <c r="U18" s="34">
        <f t="shared" ref="U18" si="67">SUM(U19:U20)</f>
        <v>0</v>
      </c>
      <c r="V18" s="34">
        <f t="shared" ref="V18" si="68">SUM(V19:V20)</f>
        <v>0</v>
      </c>
      <c r="W18" s="34">
        <f t="shared" ref="W18" si="69">SUM(W19:W20)</f>
        <v>0</v>
      </c>
      <c r="X18" s="34">
        <f t="shared" ref="X18" si="70">SUM(X19:X20)</f>
        <v>0</v>
      </c>
      <c r="Y18" s="34">
        <f t="shared" ref="Y18" si="71">SUM(Y19:Y20)</f>
        <v>0</v>
      </c>
      <c r="Z18" s="34"/>
      <c r="AA18" s="34"/>
      <c r="AB18" s="34"/>
      <c r="AC18" s="34"/>
      <c r="AD18" s="56"/>
      <c r="AE18" s="56">
        <f>R55</f>
        <v>0</v>
      </c>
    </row>
    <row r="19" spans="1:31">
      <c r="A19" s="40" t="s">
        <v>365</v>
      </c>
      <c r="B19" s="41" t="s">
        <v>366</v>
      </c>
      <c r="C19" s="42">
        <f t="shared" si="32"/>
        <v>63</v>
      </c>
      <c r="D19" s="42">
        <f>'表10 项目总投资使用计划与资金筹措表'!C9</f>
        <v>63</v>
      </c>
      <c r="E19" s="42"/>
      <c r="F19" s="43"/>
      <c r="G19" s="43"/>
      <c r="H19" s="43"/>
      <c r="I19" s="43"/>
      <c r="J19" s="43"/>
      <c r="K19" s="43"/>
      <c r="L19" s="43"/>
      <c r="M19" s="42">
        <v>0</v>
      </c>
      <c r="N19" s="43"/>
      <c r="O19" s="43"/>
      <c r="P19" s="43"/>
      <c r="Q19" s="43"/>
      <c r="R19" s="43"/>
      <c r="S19" s="43"/>
      <c r="T19" s="42"/>
      <c r="U19" s="43"/>
      <c r="V19" s="43"/>
      <c r="W19" s="43"/>
      <c r="X19" s="43"/>
      <c r="Y19" s="43"/>
      <c r="Z19" s="43"/>
      <c r="AA19" s="43"/>
      <c r="AB19" s="42"/>
      <c r="AC19" s="43"/>
      <c r="AD19" s="56"/>
      <c r="AE19" s="56">
        <f>R56</f>
        <v>0</v>
      </c>
    </row>
    <row r="20" spans="1:31">
      <c r="A20" s="40" t="s">
        <v>367</v>
      </c>
      <c r="B20" s="41" t="s">
        <v>368</v>
      </c>
      <c r="C20" s="42">
        <f t="shared" si="32"/>
        <v>147</v>
      </c>
      <c r="D20" s="42">
        <f>'表10 项目总投资使用计划与资金筹措表'!C14</f>
        <v>147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56"/>
      <c r="AE20" s="56" t="e">
        <f>#REF!</f>
        <v>#REF!</v>
      </c>
    </row>
    <row r="21" spans="1:31">
      <c r="A21" s="40">
        <v>3.2</v>
      </c>
      <c r="B21" s="41" t="s">
        <v>287</v>
      </c>
      <c r="C21" s="42">
        <f t="shared" si="32"/>
        <v>219.540700353656</v>
      </c>
      <c r="D21" s="34">
        <f t="shared" ref="D21:L21" si="72">SUM(D22:D25)</f>
        <v>0</v>
      </c>
      <c r="E21" s="34">
        <f t="shared" si="72"/>
        <v>14.6360466902437</v>
      </c>
      <c r="F21" s="34">
        <f t="shared" si="72"/>
        <v>14.6360466902437</v>
      </c>
      <c r="G21" s="34">
        <f t="shared" si="72"/>
        <v>14.6360466902437</v>
      </c>
      <c r="H21" s="34">
        <f t="shared" si="72"/>
        <v>14.6360466902437</v>
      </c>
      <c r="I21" s="34">
        <f t="shared" si="72"/>
        <v>14.6360466902437</v>
      </c>
      <c r="J21" s="34">
        <f t="shared" si="72"/>
        <v>14.6360466902437</v>
      </c>
      <c r="K21" s="34">
        <f t="shared" si="72"/>
        <v>14.6360466902437</v>
      </c>
      <c r="L21" s="34">
        <f t="shared" si="72"/>
        <v>14.6360466902437</v>
      </c>
      <c r="M21" s="34">
        <f t="shared" ref="M21:Y21" si="73">SUM(M22:M25)</f>
        <v>14.6360466902437</v>
      </c>
      <c r="N21" s="34">
        <f t="shared" si="73"/>
        <v>14.6360466902437</v>
      </c>
      <c r="O21" s="34">
        <f t="shared" si="73"/>
        <v>14.6360466902437</v>
      </c>
      <c r="P21" s="34">
        <f t="shared" si="73"/>
        <v>14.6360466902437</v>
      </c>
      <c r="Q21" s="34">
        <f t="shared" si="73"/>
        <v>14.6360466902437</v>
      </c>
      <c r="R21" s="34">
        <f t="shared" si="73"/>
        <v>14.6360466902437</v>
      </c>
      <c r="S21" s="34">
        <f t="shared" si="73"/>
        <v>14.6360466902437</v>
      </c>
      <c r="T21" s="34">
        <f t="shared" si="73"/>
        <v>0</v>
      </c>
      <c r="U21" s="34">
        <f t="shared" si="73"/>
        <v>0</v>
      </c>
      <c r="V21" s="34">
        <f t="shared" si="73"/>
        <v>0</v>
      </c>
      <c r="W21" s="34">
        <f t="shared" si="73"/>
        <v>0</v>
      </c>
      <c r="X21" s="34">
        <f t="shared" si="73"/>
        <v>0</v>
      </c>
      <c r="Y21" s="34">
        <f t="shared" si="73"/>
        <v>0</v>
      </c>
      <c r="Z21" s="34"/>
      <c r="AA21" s="34"/>
      <c r="AB21" s="34"/>
      <c r="AC21" s="34"/>
      <c r="AD21" s="56"/>
      <c r="AE21" s="56" t="e">
        <f>#REF!</f>
        <v>#REF!</v>
      </c>
    </row>
    <row r="22" spans="1:31">
      <c r="A22" s="40" t="s">
        <v>369</v>
      </c>
      <c r="B22" s="41" t="s">
        <v>370</v>
      </c>
      <c r="C22" s="42">
        <f t="shared" si="32"/>
        <v>71.5502878536559</v>
      </c>
      <c r="D22" s="42"/>
      <c r="E22" s="42">
        <f>'表6 还本付息表'!E8</f>
        <v>7.97668323375</v>
      </c>
      <c r="F22" s="42">
        <f>'表6 还本付息表'!F8</f>
        <v>7.61774354344499</v>
      </c>
      <c r="G22" s="42">
        <f>'表6 还本付息表'!G8</f>
        <v>7.23945700383254</v>
      </c>
      <c r="H22" s="42">
        <f>'表6 还本付息表'!H8</f>
        <v>6.84078081973497</v>
      </c>
      <c r="I22" s="42">
        <f>'表6 还本付息表'!I8</f>
        <v>6.42061598931455</v>
      </c>
      <c r="J22" s="42">
        <f>'表6 还本付息表'!J8</f>
        <v>5.97780427453447</v>
      </c>
      <c r="K22" s="42">
        <f>'表6 还本付息表'!K8</f>
        <v>5.51112500832774</v>
      </c>
      <c r="L22" s="42">
        <f>'表6 还本付息表'!L8</f>
        <v>5.01929172967247</v>
      </c>
      <c r="M22" s="42">
        <f>'表6 还本付息表'!M8</f>
        <v>4.50094863729768</v>
      </c>
      <c r="N22" s="42">
        <f>'表6 还本付息表'!N8</f>
        <v>3.95466685224389</v>
      </c>
      <c r="O22" s="42">
        <f>'表6 还本付息表'!O8</f>
        <v>3.37894047897569</v>
      </c>
      <c r="P22" s="42">
        <f>'表6 还本付息表'!P8</f>
        <v>2.77218245418835</v>
      </c>
      <c r="Q22" s="42">
        <f>'表6 还本付息表'!Q8</f>
        <v>2.13272017186496</v>
      </c>
      <c r="R22" s="42">
        <f>'表6 还本付息表'!R8</f>
        <v>1.45879087252435</v>
      </c>
      <c r="S22" s="42">
        <f>'表6 还本付息表'!S8</f>
        <v>0.748536783949273</v>
      </c>
      <c r="T22" s="42">
        <f>'表6 还本付息表'!T8</f>
        <v>0</v>
      </c>
      <c r="U22" s="42">
        <f>'表6 还本付息表'!U8</f>
        <v>0</v>
      </c>
      <c r="V22" s="42">
        <f>'表6 还本付息表'!V8</f>
        <v>0</v>
      </c>
      <c r="W22" s="42">
        <f>'表6 还本付息表'!W8</f>
        <v>0</v>
      </c>
      <c r="X22" s="42">
        <f>'表6 还本付息表'!X8</f>
        <v>0</v>
      </c>
      <c r="Y22" s="42">
        <f>'表6 还本付息表'!Y8</f>
        <v>0</v>
      </c>
      <c r="Z22" s="42"/>
      <c r="AA22" s="42"/>
      <c r="AB22" s="42"/>
      <c r="AC22" s="42"/>
      <c r="AD22" s="56"/>
      <c r="AE22" s="56" t="e">
        <f>#REF!</f>
        <v>#REF!</v>
      </c>
    </row>
    <row r="23" spans="1:31">
      <c r="A23" s="40" t="s">
        <v>371</v>
      </c>
      <c r="B23" s="41" t="s">
        <v>372</v>
      </c>
      <c r="C23" s="42">
        <f t="shared" si="32"/>
        <v>147.9904125</v>
      </c>
      <c r="D23" s="42"/>
      <c r="E23" s="42">
        <f>'表6 还本付息表'!E6</f>
        <v>6.65936345649373</v>
      </c>
      <c r="F23" s="42">
        <f>'表6 还本付息表'!F6</f>
        <v>7.01830314679874</v>
      </c>
      <c r="G23" s="42">
        <f>'表6 还本付息表'!G6</f>
        <v>7.39658968641119</v>
      </c>
      <c r="H23" s="42">
        <f>'表6 还本付息表'!H6</f>
        <v>7.79526587050875</v>
      </c>
      <c r="I23" s="42">
        <f>'表6 还本付息表'!I6</f>
        <v>8.21543070092917</v>
      </c>
      <c r="J23" s="42">
        <f>'表6 还本付息表'!J6</f>
        <v>8.65824241570926</v>
      </c>
      <c r="K23" s="42">
        <f>'表6 还本付息表'!K6</f>
        <v>9.12492168191599</v>
      </c>
      <c r="L23" s="42">
        <f>'表6 还本付息表'!L6</f>
        <v>9.61675496057126</v>
      </c>
      <c r="M23" s="42">
        <f>'表6 还本付息表'!M6</f>
        <v>10.135098052946</v>
      </c>
      <c r="N23" s="42">
        <f>'表6 还本付息表'!N6</f>
        <v>10.6813798379998</v>
      </c>
      <c r="O23" s="42">
        <f>'表6 还本付息表'!O6</f>
        <v>11.257106211268</v>
      </c>
      <c r="P23" s="42">
        <f>'表6 还本付息表'!P6</f>
        <v>11.8638642360554</v>
      </c>
      <c r="Q23" s="42">
        <f>'表6 还本付息表'!Q6</f>
        <v>12.5033265183788</v>
      </c>
      <c r="R23" s="42">
        <f>'表6 还本付息表'!R6</f>
        <v>13.1772558177194</v>
      </c>
      <c r="S23" s="42">
        <f>'表6 还本付息表'!S6</f>
        <v>13.8875099062945</v>
      </c>
      <c r="T23" s="42">
        <f>'表6 还本付息表'!T6</f>
        <v>0</v>
      </c>
      <c r="U23" s="42">
        <f>'表6 还本付息表'!U6</f>
        <v>0</v>
      </c>
      <c r="V23" s="42">
        <f>'表6 还本付息表'!V6</f>
        <v>0</v>
      </c>
      <c r="W23" s="42">
        <f>'表6 还本付息表'!W6</f>
        <v>0</v>
      </c>
      <c r="X23" s="42">
        <f>'表6 还本付息表'!X6</f>
        <v>0</v>
      </c>
      <c r="Y23" s="42">
        <f>'表6 还本付息表'!Y6</f>
        <v>0</v>
      </c>
      <c r="Z23" s="42"/>
      <c r="AA23" s="42"/>
      <c r="AB23" s="42"/>
      <c r="AC23" s="42"/>
      <c r="AD23" s="56"/>
      <c r="AE23" s="56" t="e">
        <f>#REF!</f>
        <v>#REF!</v>
      </c>
    </row>
    <row r="24" ht="22.5" spans="1:31">
      <c r="A24" s="40" t="s">
        <v>373</v>
      </c>
      <c r="B24" s="41" t="s">
        <v>374</v>
      </c>
      <c r="C24" s="42">
        <f t="shared" si="32"/>
        <v>0</v>
      </c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56"/>
      <c r="AE24" s="56" t="e">
        <f>#REF!</f>
        <v>#REF!</v>
      </c>
    </row>
    <row r="25" spans="1:31">
      <c r="A25" s="40" t="s">
        <v>375</v>
      </c>
      <c r="B25" s="41" t="s">
        <v>376</v>
      </c>
      <c r="C25" s="42">
        <f t="shared" si="32"/>
        <v>0</v>
      </c>
      <c r="D25" s="42"/>
      <c r="E25" s="42"/>
      <c r="F25" s="43"/>
      <c r="G25" s="43"/>
      <c r="H25" s="43"/>
      <c r="I25" s="43"/>
      <c r="J25" s="43"/>
      <c r="K25" s="43"/>
      <c r="L25" s="43"/>
      <c r="M25" s="42"/>
      <c r="N25" s="43"/>
      <c r="O25" s="43"/>
      <c r="P25" s="43"/>
      <c r="Q25" s="43"/>
      <c r="R25" s="43"/>
      <c r="S25" s="43"/>
      <c r="T25" s="42"/>
      <c r="U25" s="43"/>
      <c r="V25" s="43"/>
      <c r="W25" s="43"/>
      <c r="X25" s="43"/>
      <c r="Y25" s="43"/>
      <c r="Z25" s="43"/>
      <c r="AA25" s="43"/>
      <c r="AB25" s="42"/>
      <c r="AC25" s="43"/>
      <c r="AD25" s="56"/>
      <c r="AE25" s="56" t="e">
        <f>#REF!</f>
        <v>#REF!</v>
      </c>
    </row>
    <row r="26" ht="34.5" spans="1:31">
      <c r="A26" s="40">
        <v>4</v>
      </c>
      <c r="B26" s="41" t="s">
        <v>377</v>
      </c>
      <c r="C26" s="42">
        <f t="shared" si="32"/>
        <v>181.528709566365</v>
      </c>
      <c r="D26" s="42">
        <f t="shared" ref="D26:M26" si="74">SUM(D4,D13,D17)</f>
        <v>0</v>
      </c>
      <c r="E26" s="42">
        <f t="shared" si="74"/>
        <v>8.41546477254202</v>
      </c>
      <c r="F26" s="42">
        <f t="shared" si="74"/>
        <v>7.82288031238433</v>
      </c>
      <c r="G26" s="42">
        <f t="shared" si="74"/>
        <v>7.1701062272748</v>
      </c>
      <c r="H26" s="42">
        <f t="shared" si="74"/>
        <v>6.51223473104396</v>
      </c>
      <c r="I26" s="42">
        <f t="shared" si="74"/>
        <v>5.49326534577556</v>
      </c>
      <c r="J26" s="42">
        <f t="shared" si="74"/>
        <v>4.78708392060485</v>
      </c>
      <c r="K26" s="42">
        <f t="shared" si="74"/>
        <v>4.12572257127882</v>
      </c>
      <c r="L26" s="42">
        <f t="shared" si="74"/>
        <v>7.27091344826114</v>
      </c>
      <c r="M26" s="42">
        <f t="shared" si="74"/>
        <v>6.59663614239308</v>
      </c>
      <c r="N26" s="42">
        <f t="shared" ref="N26:Y26" si="75">SUM(N4,N13,N17)</f>
        <v>5.91537416335529</v>
      </c>
      <c r="O26" s="42">
        <f t="shared" si="75"/>
        <v>5.22675103726388</v>
      </c>
      <c r="P26" s="42">
        <f t="shared" si="75"/>
        <v>4.53036999829268</v>
      </c>
      <c r="Q26" s="42">
        <f t="shared" si="75"/>
        <v>3.82581289493747</v>
      </c>
      <c r="R26" s="42">
        <f t="shared" si="75"/>
        <v>3.11263903732797</v>
      </c>
      <c r="S26" s="42">
        <f t="shared" si="75"/>
        <v>6.20322471183034</v>
      </c>
      <c r="T26" s="42">
        <f t="shared" si="75"/>
        <v>17.115100540569</v>
      </c>
      <c r="U26" s="42">
        <f t="shared" si="75"/>
        <v>16.5704090077947</v>
      </c>
      <c r="V26" s="42">
        <f t="shared" si="75"/>
        <v>16.0257174750203</v>
      </c>
      <c r="W26" s="42">
        <f t="shared" si="75"/>
        <v>15.481025942246</v>
      </c>
      <c r="X26" s="42">
        <f t="shared" si="75"/>
        <v>14.9363344094716</v>
      </c>
      <c r="Y26" s="42">
        <f t="shared" si="75"/>
        <v>14.3916428766973</v>
      </c>
      <c r="Z26" s="42"/>
      <c r="AA26" s="42"/>
      <c r="AB26" s="42"/>
      <c r="AC26" s="42"/>
      <c r="AD26" s="56"/>
      <c r="AE26" s="56" t="e">
        <f>#REF!</f>
        <v>#REF!</v>
      </c>
    </row>
    <row r="27" ht="15" spans="1:31">
      <c r="A27" s="44">
        <v>5</v>
      </c>
      <c r="B27" s="45" t="s">
        <v>302</v>
      </c>
      <c r="C27" s="46">
        <f t="shared" si="13"/>
        <v>739.70514545415</v>
      </c>
      <c r="D27" s="47"/>
      <c r="E27" s="47">
        <f>E26</f>
        <v>8.41546477254202</v>
      </c>
      <c r="F27" s="47">
        <f>E27+F26</f>
        <v>16.2383450849264</v>
      </c>
      <c r="G27" s="47">
        <f t="shared" ref="G27:L27" si="76">F27+G26</f>
        <v>23.4084513122012</v>
      </c>
      <c r="H27" s="47">
        <f t="shared" si="76"/>
        <v>29.9206860432451</v>
      </c>
      <c r="I27" s="47">
        <f t="shared" si="76"/>
        <v>35.4139513890207</v>
      </c>
      <c r="J27" s="47">
        <f t="shared" si="76"/>
        <v>40.2010353096255</v>
      </c>
      <c r="K27" s="47">
        <f t="shared" si="76"/>
        <v>44.3267578809044</v>
      </c>
      <c r="L27" s="47">
        <f t="shared" si="76"/>
        <v>51.5976713291655</v>
      </c>
      <c r="M27" s="47">
        <f t="shared" ref="M27" si="77">M26</f>
        <v>6.59663614239308</v>
      </c>
      <c r="N27" s="47">
        <f t="shared" ref="N27" si="78">M27+N26</f>
        <v>12.5120103057484</v>
      </c>
      <c r="O27" s="47">
        <f t="shared" ref="O27" si="79">N27+O26</f>
        <v>17.7387613430122</v>
      </c>
      <c r="P27" s="47">
        <f t="shared" ref="P27" si="80">O27+P26</f>
        <v>22.2691313413049</v>
      </c>
      <c r="Q27" s="47">
        <f t="shared" ref="Q27" si="81">P27+Q26</f>
        <v>26.0949442362424</v>
      </c>
      <c r="R27" s="47">
        <f t="shared" ref="R27" si="82">Q27+R26</f>
        <v>29.2075832735704</v>
      </c>
      <c r="S27" s="47">
        <f t="shared" ref="S27" si="83">R27+S26</f>
        <v>35.4108079854007</v>
      </c>
      <c r="T27" s="47">
        <f>T26</f>
        <v>17.115100540569</v>
      </c>
      <c r="U27" s="47">
        <f>T27+U26</f>
        <v>33.6855095483637</v>
      </c>
      <c r="V27" s="47">
        <f t="shared" ref="V27" si="84">U27+V26</f>
        <v>49.711227023384</v>
      </c>
      <c r="W27" s="47">
        <f t="shared" ref="W27" si="85">V27+W26</f>
        <v>65.19225296563</v>
      </c>
      <c r="X27" s="47">
        <f t="shared" ref="X27" si="86">W27+X26</f>
        <v>80.1285873751016</v>
      </c>
      <c r="Y27" s="47">
        <f t="shared" ref="Y27" si="87">X27+Y26</f>
        <v>94.5202302517988</v>
      </c>
      <c r="Z27" s="47"/>
      <c r="AA27" s="47"/>
      <c r="AB27" s="47"/>
      <c r="AC27" s="47"/>
      <c r="AD27" s="56"/>
      <c r="AE27" s="56">
        <f t="shared" ref="AE27" si="88">R57</f>
        <v>0</v>
      </c>
    </row>
    <row r="28" spans="1:31">
      <c r="A28" s="48"/>
      <c r="B28" s="49" t="s">
        <v>378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ht="15.75" spans="1:31">
      <c r="A29" s="50"/>
      <c r="B29" s="49" t="s">
        <v>379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ht="15.75" spans="1:31">
      <c r="A30" s="50"/>
      <c r="B30" s="49" t="s">
        <v>380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ht="15.75" spans="1:31">
      <c r="A31" s="50"/>
      <c r="B31" s="49" t="s">
        <v>381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ht="18.75" spans="1:31">
      <c r="A32" s="30" t="s">
        <v>382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51"/>
      <c r="R32" s="51"/>
      <c r="S32" s="51"/>
      <c r="T32" s="51"/>
      <c r="U32" s="51"/>
      <c r="V32" s="51"/>
      <c r="W32" s="51"/>
      <c r="X32" s="51"/>
      <c r="Y32" s="52"/>
      <c r="Z32" s="52"/>
      <c r="AA32" s="52"/>
      <c r="AB32" s="52"/>
      <c r="AC32" s="52"/>
      <c r="AD32" s="52"/>
      <c r="AE32" s="52"/>
    </row>
    <row r="33" ht="15" spans="1:31">
      <c r="A33" s="31" t="s">
        <v>215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1">
      <c r="A34" s="32" t="s">
        <v>3</v>
      </c>
      <c r="B34" s="33" t="s">
        <v>358</v>
      </c>
      <c r="C34" s="33" t="s">
        <v>102</v>
      </c>
      <c r="D34" s="33" t="s">
        <v>170</v>
      </c>
      <c r="E34" s="33" t="s">
        <v>171</v>
      </c>
      <c r="F34" s="33" t="s">
        <v>172</v>
      </c>
      <c r="G34" s="33" t="s">
        <v>173</v>
      </c>
      <c r="H34" s="33" t="s">
        <v>174</v>
      </c>
      <c r="I34" s="33" t="s">
        <v>175</v>
      </c>
      <c r="J34" s="33" t="s">
        <v>176</v>
      </c>
      <c r="K34" s="33" t="s">
        <v>177</v>
      </c>
      <c r="L34" s="33" t="s">
        <v>178</v>
      </c>
      <c r="M34" s="33" t="s">
        <v>179</v>
      </c>
      <c r="N34" s="33" t="s">
        <v>180</v>
      </c>
      <c r="O34" s="33" t="s">
        <v>181</v>
      </c>
      <c r="P34" s="38" t="s">
        <v>182</v>
      </c>
      <c r="Q34" s="53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ht="22.5" spans="1:31">
      <c r="A35" s="40">
        <v>1</v>
      </c>
      <c r="B35" s="41" t="s">
        <v>359</v>
      </c>
      <c r="C35" s="42">
        <f>C4</f>
        <v>401.069409920021</v>
      </c>
      <c r="D35" s="34">
        <f>Q4</f>
        <v>18.4618595851812</v>
      </c>
      <c r="E35" s="34">
        <f t="shared" ref="E35:O35" si="89">R4</f>
        <v>17.7486857275717</v>
      </c>
      <c r="F35" s="34">
        <f t="shared" si="89"/>
        <v>20.8392714020741</v>
      </c>
      <c r="G35" s="34">
        <f t="shared" si="89"/>
        <v>17.115100540569</v>
      </c>
      <c r="H35" s="34">
        <f t="shared" si="89"/>
        <v>16.5704090077947</v>
      </c>
      <c r="I35" s="34">
        <f t="shared" si="89"/>
        <v>16.0257174750203</v>
      </c>
      <c r="J35" s="34">
        <f t="shared" si="89"/>
        <v>15.481025942246</v>
      </c>
      <c r="K35" s="34">
        <f t="shared" si="89"/>
        <v>14.9363344094716</v>
      </c>
      <c r="L35" s="34">
        <f t="shared" si="89"/>
        <v>14.3916428766973</v>
      </c>
      <c r="M35" s="34">
        <f t="shared" si="89"/>
        <v>0</v>
      </c>
      <c r="N35" s="34">
        <f t="shared" si="89"/>
        <v>0</v>
      </c>
      <c r="O35" s="34">
        <f t="shared" si="89"/>
        <v>0</v>
      </c>
      <c r="P35" s="34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</row>
    <row r="36" spans="1:31">
      <c r="A36" s="40">
        <v>1.1</v>
      </c>
      <c r="B36" s="41" t="s">
        <v>285</v>
      </c>
      <c r="C36" s="42">
        <f>C5</f>
        <v>881.12822656533</v>
      </c>
      <c r="D36" s="34">
        <f>Q5</f>
        <v>39.2624144492142</v>
      </c>
      <c r="E36" s="34">
        <f t="shared" ref="E36:O37" si="90">R5</f>
        <v>37.9126209488492</v>
      </c>
      <c r="F36" s="34">
        <f t="shared" si="90"/>
        <v>46.0113819510394</v>
      </c>
      <c r="G36" s="34">
        <f t="shared" si="90"/>
        <v>44.6615884506743</v>
      </c>
      <c r="H36" s="34">
        <f t="shared" si="90"/>
        <v>43.3117949503093</v>
      </c>
      <c r="I36" s="34">
        <f t="shared" si="90"/>
        <v>41.9620014499443</v>
      </c>
      <c r="J36" s="34">
        <f t="shared" si="90"/>
        <v>40.6122079495793</v>
      </c>
      <c r="K36" s="34">
        <f t="shared" si="90"/>
        <v>39.2624144492142</v>
      </c>
      <c r="L36" s="34">
        <f t="shared" si="90"/>
        <v>37.9126209488492</v>
      </c>
      <c r="M36" s="34">
        <f t="shared" si="90"/>
        <v>0</v>
      </c>
      <c r="N36" s="34">
        <f t="shared" si="90"/>
        <v>0</v>
      </c>
      <c r="O36" s="34">
        <f t="shared" si="90"/>
        <v>0</v>
      </c>
      <c r="P36" s="34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</row>
    <row r="37" spans="1:31">
      <c r="A37" s="40" t="s">
        <v>194</v>
      </c>
      <c r="B37" s="41" t="s">
        <v>192</v>
      </c>
      <c r="C37" s="42">
        <f>C6</f>
        <v>881.12822656533</v>
      </c>
      <c r="D37" s="34">
        <f>Q6</f>
        <v>39.2624144492142</v>
      </c>
      <c r="E37" s="34">
        <f t="shared" si="90"/>
        <v>37.9126209488492</v>
      </c>
      <c r="F37" s="34">
        <f t="shared" si="90"/>
        <v>46.0113819510394</v>
      </c>
      <c r="G37" s="34">
        <f t="shared" si="90"/>
        <v>44.6615884506743</v>
      </c>
      <c r="H37" s="34">
        <f t="shared" si="90"/>
        <v>43.3117949503093</v>
      </c>
      <c r="I37" s="34">
        <f t="shared" si="90"/>
        <v>41.9620014499443</v>
      </c>
      <c r="J37" s="34">
        <f t="shared" si="90"/>
        <v>40.6122079495793</v>
      </c>
      <c r="K37" s="34">
        <f t="shared" si="90"/>
        <v>39.2624144492142</v>
      </c>
      <c r="L37" s="34">
        <f t="shared" si="90"/>
        <v>37.9126209488492</v>
      </c>
      <c r="M37" s="34">
        <f t="shared" si="90"/>
        <v>0</v>
      </c>
      <c r="N37" s="34">
        <f t="shared" si="90"/>
        <v>0</v>
      </c>
      <c r="O37" s="34">
        <f t="shared" si="90"/>
        <v>0</v>
      </c>
      <c r="P37" s="34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</row>
    <row r="38" spans="1:31">
      <c r="A38" s="40">
        <v>1.2</v>
      </c>
      <c r="B38" s="41" t="s">
        <v>287</v>
      </c>
      <c r="C38" s="42">
        <f t="shared" ref="C38:C57" si="91">C8</f>
        <v>480.058816645309</v>
      </c>
      <c r="D38" s="34">
        <f t="shared" ref="D38:D57" si="92">Q8</f>
        <v>20.800554864033</v>
      </c>
      <c r="E38" s="34">
        <f t="shared" ref="E38:E57" si="93">R8</f>
        <v>20.1639352212775</v>
      </c>
      <c r="F38" s="34">
        <f t="shared" ref="F38:F57" si="94">S8</f>
        <v>25.1721105489653</v>
      </c>
      <c r="G38" s="34">
        <f t="shared" ref="G38:G57" si="95">T8</f>
        <v>27.5464879101053</v>
      </c>
      <c r="H38" s="34">
        <f t="shared" ref="H38:H57" si="96">U8</f>
        <v>26.7413859425146</v>
      </c>
      <c r="I38" s="34">
        <f t="shared" ref="I38:I57" si="97">V8</f>
        <v>25.936283974924</v>
      </c>
      <c r="J38" s="34">
        <f t="shared" ref="J38:J57" si="98">W8</f>
        <v>25.1311820073333</v>
      </c>
      <c r="K38" s="34">
        <f t="shared" ref="K38:K57" si="99">X8</f>
        <v>24.3260800397426</v>
      </c>
      <c r="L38" s="34">
        <f t="shared" ref="L38:L57" si="100">Y8</f>
        <v>23.520978072152</v>
      </c>
      <c r="M38" s="34">
        <f t="shared" ref="M38:M57" si="101">Z8</f>
        <v>0</v>
      </c>
      <c r="N38" s="34">
        <f t="shared" ref="N38:N57" si="102">AA8</f>
        <v>0</v>
      </c>
      <c r="O38" s="34">
        <f t="shared" ref="O38:O57" si="103">AB8</f>
        <v>0</v>
      </c>
      <c r="P38" s="34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</row>
    <row r="39" spans="1:31">
      <c r="A39" s="40" t="s">
        <v>228</v>
      </c>
      <c r="B39" s="41" t="s">
        <v>291</v>
      </c>
      <c r="C39" s="42">
        <f t="shared" si="91"/>
        <v>420.721280107734</v>
      </c>
      <c r="D39" s="34">
        <f t="shared" si="92"/>
        <v>18.823299538284</v>
      </c>
      <c r="E39" s="34">
        <f t="shared" si="93"/>
        <v>18.2177759715275</v>
      </c>
      <c r="F39" s="34">
        <f t="shared" si="94"/>
        <v>21.8509173720662</v>
      </c>
      <c r="G39" s="34">
        <f t="shared" si="95"/>
        <v>21.2453938053097</v>
      </c>
      <c r="H39" s="34">
        <f t="shared" si="96"/>
        <v>20.6398702385533</v>
      </c>
      <c r="I39" s="34">
        <f t="shared" si="97"/>
        <v>20.0343466717969</v>
      </c>
      <c r="J39" s="34">
        <f t="shared" si="98"/>
        <v>19.4288231050404</v>
      </c>
      <c r="K39" s="34">
        <f t="shared" si="99"/>
        <v>18.823299538284</v>
      </c>
      <c r="L39" s="34">
        <f t="shared" si="100"/>
        <v>18.2177759715275</v>
      </c>
      <c r="M39" s="34">
        <f t="shared" si="101"/>
        <v>0</v>
      </c>
      <c r="N39" s="34">
        <f t="shared" si="102"/>
        <v>0</v>
      </c>
      <c r="O39" s="34">
        <f t="shared" si="103"/>
        <v>0</v>
      </c>
      <c r="P39" s="34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</row>
    <row r="40" spans="1:31">
      <c r="A40" s="40" t="s">
        <v>232</v>
      </c>
      <c r="B40" s="41" t="s">
        <v>360</v>
      </c>
      <c r="C40" s="42">
        <f t="shared" si="91"/>
        <v>0</v>
      </c>
      <c r="D40" s="34">
        <f t="shared" si="92"/>
        <v>0</v>
      </c>
      <c r="E40" s="34">
        <f t="shared" si="93"/>
        <v>0</v>
      </c>
      <c r="F40" s="34">
        <f t="shared" si="94"/>
        <v>0</v>
      </c>
      <c r="G40" s="34">
        <f t="shared" si="95"/>
        <v>0</v>
      </c>
      <c r="H40" s="34">
        <f t="shared" si="96"/>
        <v>0</v>
      </c>
      <c r="I40" s="34">
        <f t="shared" si="97"/>
        <v>0</v>
      </c>
      <c r="J40" s="34">
        <f t="shared" si="98"/>
        <v>0</v>
      </c>
      <c r="K40" s="34">
        <f t="shared" si="99"/>
        <v>0</v>
      </c>
      <c r="L40" s="34">
        <f t="shared" si="100"/>
        <v>0</v>
      </c>
      <c r="M40" s="34">
        <f t="shared" si="101"/>
        <v>0</v>
      </c>
      <c r="N40" s="34">
        <f t="shared" si="102"/>
        <v>0</v>
      </c>
      <c r="O40" s="34">
        <f t="shared" si="103"/>
        <v>0</v>
      </c>
      <c r="P40" s="34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</row>
    <row r="41" spans="1:31">
      <c r="A41" s="40" t="s">
        <v>361</v>
      </c>
      <c r="B41" s="41" t="s">
        <v>207</v>
      </c>
      <c r="C41" s="42">
        <f t="shared" si="91"/>
        <v>9.34473183698761</v>
      </c>
      <c r="D41" s="34">
        <f t="shared" si="92"/>
        <v>0.524002364968142</v>
      </c>
      <c r="E41" s="34">
        <f t="shared" si="93"/>
        <v>0.505987808392036</v>
      </c>
      <c r="F41" s="34">
        <f t="shared" si="94"/>
        <v>0.614075147848673</v>
      </c>
      <c r="G41" s="34">
        <f t="shared" si="95"/>
        <v>0.596060591272566</v>
      </c>
      <c r="H41" s="34">
        <f t="shared" si="96"/>
        <v>0.57804603469646</v>
      </c>
      <c r="I41" s="34">
        <f t="shared" si="97"/>
        <v>0.560031478120354</v>
      </c>
      <c r="J41" s="34">
        <f t="shared" si="98"/>
        <v>0.542016921544248</v>
      </c>
      <c r="K41" s="34">
        <f t="shared" si="99"/>
        <v>0.524002364968142</v>
      </c>
      <c r="L41" s="34">
        <f t="shared" si="100"/>
        <v>0.505987808392036</v>
      </c>
      <c r="M41" s="34">
        <f t="shared" si="101"/>
        <v>0</v>
      </c>
      <c r="N41" s="34">
        <f t="shared" si="102"/>
        <v>0</v>
      </c>
      <c r="O41" s="34">
        <f t="shared" si="103"/>
        <v>0</v>
      </c>
      <c r="P41" s="34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</row>
    <row r="42" spans="1:31">
      <c r="A42" s="40" t="s">
        <v>362</v>
      </c>
      <c r="B42" s="41" t="s">
        <v>246</v>
      </c>
      <c r="C42" s="42">
        <f t="shared" si="91"/>
        <v>49.9928047005877</v>
      </c>
      <c r="D42" s="34">
        <f t="shared" si="92"/>
        <v>1.45325296078093</v>
      </c>
      <c r="E42" s="34">
        <f t="shared" si="93"/>
        <v>1.44017144135797</v>
      </c>
      <c r="F42" s="34">
        <f t="shared" si="94"/>
        <v>2.70711802905045</v>
      </c>
      <c r="G42" s="34">
        <f t="shared" si="95"/>
        <v>5.70503351352301</v>
      </c>
      <c r="H42" s="34">
        <f t="shared" si="96"/>
        <v>5.52346966926489</v>
      </c>
      <c r="I42" s="34">
        <f t="shared" si="97"/>
        <v>5.34190582500677</v>
      </c>
      <c r="J42" s="34">
        <f t="shared" si="98"/>
        <v>5.16034198074865</v>
      </c>
      <c r="K42" s="34">
        <f t="shared" si="99"/>
        <v>4.97877813649053</v>
      </c>
      <c r="L42" s="34">
        <f t="shared" si="100"/>
        <v>4.79721429223242</v>
      </c>
      <c r="M42" s="34">
        <f t="shared" si="101"/>
        <v>0</v>
      </c>
      <c r="N42" s="34">
        <f t="shared" si="102"/>
        <v>0</v>
      </c>
      <c r="O42" s="34">
        <f t="shared" si="103"/>
        <v>0</v>
      </c>
      <c r="P42" s="34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</row>
    <row r="43" ht="22.5" spans="1:31">
      <c r="A43" s="40">
        <v>2</v>
      </c>
      <c r="B43" s="41" t="s">
        <v>363</v>
      </c>
      <c r="C43" s="42">
        <f t="shared" si="91"/>
        <v>-210</v>
      </c>
      <c r="D43" s="34">
        <f t="shared" si="92"/>
        <v>0</v>
      </c>
      <c r="E43" s="34">
        <f t="shared" si="93"/>
        <v>0</v>
      </c>
      <c r="F43" s="34">
        <f t="shared" si="94"/>
        <v>0</v>
      </c>
      <c r="G43" s="34">
        <f t="shared" si="95"/>
        <v>0</v>
      </c>
      <c r="H43" s="34">
        <f t="shared" si="96"/>
        <v>0</v>
      </c>
      <c r="I43" s="34">
        <f t="shared" si="97"/>
        <v>0</v>
      </c>
      <c r="J43" s="34">
        <f t="shared" si="98"/>
        <v>0</v>
      </c>
      <c r="K43" s="34">
        <f t="shared" si="99"/>
        <v>0</v>
      </c>
      <c r="L43" s="34">
        <f t="shared" si="100"/>
        <v>0</v>
      </c>
      <c r="M43" s="34">
        <f t="shared" si="101"/>
        <v>0</v>
      </c>
      <c r="N43" s="34">
        <f t="shared" si="102"/>
        <v>0</v>
      </c>
      <c r="O43" s="34">
        <f t="shared" si="103"/>
        <v>0</v>
      </c>
      <c r="P43" s="34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</row>
    <row r="44" spans="1:31">
      <c r="A44" s="40">
        <v>2.1</v>
      </c>
      <c r="B44" s="41" t="s">
        <v>285</v>
      </c>
      <c r="C44" s="42">
        <f t="shared" si="91"/>
        <v>0</v>
      </c>
      <c r="D44" s="34">
        <f t="shared" si="92"/>
        <v>0</v>
      </c>
      <c r="E44" s="34">
        <f t="shared" si="93"/>
        <v>0</v>
      </c>
      <c r="F44" s="34">
        <f t="shared" si="94"/>
        <v>0</v>
      </c>
      <c r="G44" s="34">
        <f t="shared" si="95"/>
        <v>0</v>
      </c>
      <c r="H44" s="34">
        <f t="shared" si="96"/>
        <v>0</v>
      </c>
      <c r="I44" s="34">
        <f t="shared" si="97"/>
        <v>0</v>
      </c>
      <c r="J44" s="34">
        <f t="shared" si="98"/>
        <v>0</v>
      </c>
      <c r="K44" s="34">
        <f t="shared" si="99"/>
        <v>0</v>
      </c>
      <c r="L44" s="34">
        <f t="shared" si="100"/>
        <v>0</v>
      </c>
      <c r="M44" s="34">
        <f t="shared" si="101"/>
        <v>0</v>
      </c>
      <c r="N44" s="34">
        <f t="shared" si="102"/>
        <v>0</v>
      </c>
      <c r="O44" s="34">
        <f t="shared" si="103"/>
        <v>0</v>
      </c>
      <c r="P44" s="34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</row>
    <row r="45" spans="1:31">
      <c r="A45" s="40">
        <v>2.2</v>
      </c>
      <c r="B45" s="41" t="s">
        <v>287</v>
      </c>
      <c r="C45" s="42">
        <f t="shared" si="91"/>
        <v>210</v>
      </c>
      <c r="D45" s="34">
        <f t="shared" si="92"/>
        <v>0</v>
      </c>
      <c r="E45" s="34">
        <f t="shared" si="93"/>
        <v>0</v>
      </c>
      <c r="F45" s="34">
        <f t="shared" si="94"/>
        <v>0</v>
      </c>
      <c r="G45" s="34">
        <f t="shared" si="95"/>
        <v>0</v>
      </c>
      <c r="H45" s="34">
        <f t="shared" si="96"/>
        <v>0</v>
      </c>
      <c r="I45" s="34">
        <f t="shared" si="97"/>
        <v>0</v>
      </c>
      <c r="J45" s="34">
        <f t="shared" si="98"/>
        <v>0</v>
      </c>
      <c r="K45" s="34">
        <f t="shared" si="99"/>
        <v>0</v>
      </c>
      <c r="L45" s="34">
        <f t="shared" si="100"/>
        <v>0</v>
      </c>
      <c r="M45" s="34">
        <f t="shared" si="101"/>
        <v>0</v>
      </c>
      <c r="N45" s="34">
        <f t="shared" si="102"/>
        <v>0</v>
      </c>
      <c r="O45" s="34">
        <f t="shared" si="103"/>
        <v>0</v>
      </c>
      <c r="P45" s="34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</row>
    <row r="46" spans="1:31">
      <c r="A46" s="40" t="s">
        <v>353</v>
      </c>
      <c r="B46" s="41" t="s">
        <v>328</v>
      </c>
      <c r="C46" s="42">
        <f t="shared" si="91"/>
        <v>210</v>
      </c>
      <c r="D46" s="34">
        <f t="shared" si="92"/>
        <v>0</v>
      </c>
      <c r="E46" s="34">
        <f t="shared" si="93"/>
        <v>0</v>
      </c>
      <c r="F46" s="34">
        <f t="shared" si="94"/>
        <v>0</v>
      </c>
      <c r="G46" s="34">
        <f t="shared" si="95"/>
        <v>0</v>
      </c>
      <c r="H46" s="34">
        <f t="shared" si="96"/>
        <v>0</v>
      </c>
      <c r="I46" s="34">
        <f t="shared" si="97"/>
        <v>0</v>
      </c>
      <c r="J46" s="34">
        <f t="shared" si="98"/>
        <v>0</v>
      </c>
      <c r="K46" s="34">
        <f t="shared" si="99"/>
        <v>0</v>
      </c>
      <c r="L46" s="34">
        <f t="shared" si="100"/>
        <v>0</v>
      </c>
      <c r="M46" s="34">
        <f t="shared" si="101"/>
        <v>0</v>
      </c>
      <c r="N46" s="34">
        <f t="shared" si="102"/>
        <v>0</v>
      </c>
      <c r="O46" s="34">
        <f t="shared" si="103"/>
        <v>0</v>
      </c>
      <c r="P46" s="34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</row>
    <row r="47" ht="22.5" spans="1:31">
      <c r="A47" s="40">
        <v>3</v>
      </c>
      <c r="B47" s="41" t="s">
        <v>364</v>
      </c>
      <c r="C47" s="42">
        <f t="shared" si="91"/>
        <v>-9.54070035365586</v>
      </c>
      <c r="D47" s="34">
        <f t="shared" si="92"/>
        <v>-14.6360466902437</v>
      </c>
      <c r="E47" s="34">
        <f t="shared" si="93"/>
        <v>-14.6360466902437</v>
      </c>
      <c r="F47" s="34">
        <f t="shared" si="94"/>
        <v>-14.6360466902437</v>
      </c>
      <c r="G47" s="34">
        <f t="shared" si="95"/>
        <v>0</v>
      </c>
      <c r="H47" s="34">
        <f t="shared" si="96"/>
        <v>0</v>
      </c>
      <c r="I47" s="34">
        <f t="shared" si="97"/>
        <v>0</v>
      </c>
      <c r="J47" s="34">
        <f t="shared" si="98"/>
        <v>0</v>
      </c>
      <c r="K47" s="34">
        <f t="shared" si="99"/>
        <v>0</v>
      </c>
      <c r="L47" s="34">
        <f t="shared" si="100"/>
        <v>0</v>
      </c>
      <c r="M47" s="34">
        <f t="shared" si="101"/>
        <v>0</v>
      </c>
      <c r="N47" s="34">
        <f t="shared" si="102"/>
        <v>0</v>
      </c>
      <c r="O47" s="34">
        <f t="shared" si="103"/>
        <v>0</v>
      </c>
      <c r="P47" s="34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</row>
    <row r="48" spans="1:31">
      <c r="A48" s="40">
        <v>3.1</v>
      </c>
      <c r="B48" s="41" t="s">
        <v>285</v>
      </c>
      <c r="C48" s="42">
        <f t="shared" si="91"/>
        <v>210</v>
      </c>
      <c r="D48" s="34">
        <f t="shared" si="92"/>
        <v>0</v>
      </c>
      <c r="E48" s="34">
        <f t="shared" si="93"/>
        <v>0</v>
      </c>
      <c r="F48" s="34">
        <f t="shared" si="94"/>
        <v>0</v>
      </c>
      <c r="G48" s="34">
        <f t="shared" si="95"/>
        <v>0</v>
      </c>
      <c r="H48" s="34">
        <f t="shared" si="96"/>
        <v>0</v>
      </c>
      <c r="I48" s="34">
        <f t="shared" si="97"/>
        <v>0</v>
      </c>
      <c r="J48" s="34">
        <f t="shared" si="98"/>
        <v>0</v>
      </c>
      <c r="K48" s="34">
        <f t="shared" si="99"/>
        <v>0</v>
      </c>
      <c r="L48" s="34">
        <f t="shared" si="100"/>
        <v>0</v>
      </c>
      <c r="M48" s="34">
        <f t="shared" si="101"/>
        <v>0</v>
      </c>
      <c r="N48" s="34">
        <f t="shared" si="102"/>
        <v>0</v>
      </c>
      <c r="O48" s="34">
        <f t="shared" si="103"/>
        <v>0</v>
      </c>
      <c r="P48" s="34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</row>
    <row r="49" spans="1:31">
      <c r="A49" s="40" t="s">
        <v>365</v>
      </c>
      <c r="B49" s="41" t="s">
        <v>366</v>
      </c>
      <c r="C49" s="42">
        <f t="shared" si="91"/>
        <v>63</v>
      </c>
      <c r="D49" s="34">
        <f t="shared" si="92"/>
        <v>0</v>
      </c>
      <c r="E49" s="34">
        <f t="shared" si="93"/>
        <v>0</v>
      </c>
      <c r="F49" s="34">
        <f t="shared" si="94"/>
        <v>0</v>
      </c>
      <c r="G49" s="34">
        <f t="shared" si="95"/>
        <v>0</v>
      </c>
      <c r="H49" s="34">
        <f t="shared" si="96"/>
        <v>0</v>
      </c>
      <c r="I49" s="34">
        <f t="shared" si="97"/>
        <v>0</v>
      </c>
      <c r="J49" s="34">
        <f t="shared" si="98"/>
        <v>0</v>
      </c>
      <c r="K49" s="34">
        <f t="shared" si="99"/>
        <v>0</v>
      </c>
      <c r="L49" s="34">
        <f t="shared" si="100"/>
        <v>0</v>
      </c>
      <c r="M49" s="34">
        <f t="shared" si="101"/>
        <v>0</v>
      </c>
      <c r="N49" s="34">
        <f t="shared" si="102"/>
        <v>0</v>
      </c>
      <c r="O49" s="34">
        <f t="shared" si="103"/>
        <v>0</v>
      </c>
      <c r="P49" s="34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</row>
    <row r="50" spans="1:31">
      <c r="A50" s="40" t="s">
        <v>367</v>
      </c>
      <c r="B50" s="41" t="s">
        <v>368</v>
      </c>
      <c r="C50" s="42">
        <f t="shared" si="91"/>
        <v>147</v>
      </c>
      <c r="D50" s="34">
        <f t="shared" si="92"/>
        <v>0</v>
      </c>
      <c r="E50" s="34">
        <f t="shared" si="93"/>
        <v>0</v>
      </c>
      <c r="F50" s="34">
        <f t="shared" si="94"/>
        <v>0</v>
      </c>
      <c r="G50" s="34">
        <f t="shared" si="95"/>
        <v>0</v>
      </c>
      <c r="H50" s="34">
        <f t="shared" si="96"/>
        <v>0</v>
      </c>
      <c r="I50" s="34">
        <f t="shared" si="97"/>
        <v>0</v>
      </c>
      <c r="J50" s="34">
        <f t="shared" si="98"/>
        <v>0</v>
      </c>
      <c r="K50" s="34">
        <f t="shared" si="99"/>
        <v>0</v>
      </c>
      <c r="L50" s="34">
        <f t="shared" si="100"/>
        <v>0</v>
      </c>
      <c r="M50" s="34">
        <f t="shared" si="101"/>
        <v>0</v>
      </c>
      <c r="N50" s="34">
        <f t="shared" si="102"/>
        <v>0</v>
      </c>
      <c r="O50" s="34">
        <f t="shared" si="103"/>
        <v>0</v>
      </c>
      <c r="P50" s="34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</row>
    <row r="51" spans="1:31">
      <c r="A51" s="40">
        <v>3.2</v>
      </c>
      <c r="B51" s="41" t="s">
        <v>287</v>
      </c>
      <c r="C51" s="42">
        <f t="shared" si="91"/>
        <v>219.540700353656</v>
      </c>
      <c r="D51" s="34">
        <f t="shared" si="92"/>
        <v>14.6360466902437</v>
      </c>
      <c r="E51" s="34">
        <f t="shared" si="93"/>
        <v>14.6360466902437</v>
      </c>
      <c r="F51" s="34">
        <f t="shared" si="94"/>
        <v>14.6360466902437</v>
      </c>
      <c r="G51" s="34">
        <f t="shared" si="95"/>
        <v>0</v>
      </c>
      <c r="H51" s="34">
        <f t="shared" si="96"/>
        <v>0</v>
      </c>
      <c r="I51" s="34">
        <f t="shared" si="97"/>
        <v>0</v>
      </c>
      <c r="J51" s="34">
        <f t="shared" si="98"/>
        <v>0</v>
      </c>
      <c r="K51" s="34">
        <f t="shared" si="99"/>
        <v>0</v>
      </c>
      <c r="L51" s="34">
        <f t="shared" si="100"/>
        <v>0</v>
      </c>
      <c r="M51" s="34">
        <f t="shared" si="101"/>
        <v>0</v>
      </c>
      <c r="N51" s="34">
        <f t="shared" si="102"/>
        <v>0</v>
      </c>
      <c r="O51" s="34">
        <f t="shared" si="103"/>
        <v>0</v>
      </c>
      <c r="P51" s="34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</row>
    <row r="52" spans="1:31">
      <c r="A52" s="40" t="s">
        <v>369</v>
      </c>
      <c r="B52" s="41" t="s">
        <v>370</v>
      </c>
      <c r="C52" s="42">
        <f t="shared" si="91"/>
        <v>71.5502878536559</v>
      </c>
      <c r="D52" s="34">
        <f t="shared" si="92"/>
        <v>2.13272017186496</v>
      </c>
      <c r="E52" s="34">
        <f t="shared" si="93"/>
        <v>1.45879087252435</v>
      </c>
      <c r="F52" s="34">
        <f t="shared" si="94"/>
        <v>0.748536783949273</v>
      </c>
      <c r="G52" s="34">
        <f t="shared" si="95"/>
        <v>0</v>
      </c>
      <c r="H52" s="34">
        <f t="shared" si="96"/>
        <v>0</v>
      </c>
      <c r="I52" s="34">
        <f t="shared" si="97"/>
        <v>0</v>
      </c>
      <c r="J52" s="34">
        <f t="shared" si="98"/>
        <v>0</v>
      </c>
      <c r="K52" s="34">
        <f t="shared" si="99"/>
        <v>0</v>
      </c>
      <c r="L52" s="34">
        <f t="shared" si="100"/>
        <v>0</v>
      </c>
      <c r="M52" s="34">
        <f t="shared" si="101"/>
        <v>0</v>
      </c>
      <c r="N52" s="34">
        <f t="shared" si="102"/>
        <v>0</v>
      </c>
      <c r="O52" s="34">
        <f t="shared" si="103"/>
        <v>0</v>
      </c>
      <c r="P52" s="34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</row>
    <row r="53" spans="1:31">
      <c r="A53" s="40" t="s">
        <v>371</v>
      </c>
      <c r="B53" s="41" t="s">
        <v>372</v>
      </c>
      <c r="C53" s="42">
        <f t="shared" si="91"/>
        <v>147.9904125</v>
      </c>
      <c r="D53" s="34">
        <f t="shared" si="92"/>
        <v>12.5033265183788</v>
      </c>
      <c r="E53" s="34">
        <f t="shared" si="93"/>
        <v>13.1772558177194</v>
      </c>
      <c r="F53" s="34">
        <f t="shared" si="94"/>
        <v>13.8875099062945</v>
      </c>
      <c r="G53" s="34">
        <f t="shared" si="95"/>
        <v>0</v>
      </c>
      <c r="H53" s="34">
        <f t="shared" si="96"/>
        <v>0</v>
      </c>
      <c r="I53" s="34">
        <f t="shared" si="97"/>
        <v>0</v>
      </c>
      <c r="J53" s="34">
        <f t="shared" si="98"/>
        <v>0</v>
      </c>
      <c r="K53" s="34">
        <f t="shared" si="99"/>
        <v>0</v>
      </c>
      <c r="L53" s="34">
        <f t="shared" si="100"/>
        <v>0</v>
      </c>
      <c r="M53" s="34">
        <f t="shared" si="101"/>
        <v>0</v>
      </c>
      <c r="N53" s="34">
        <f t="shared" si="102"/>
        <v>0</v>
      </c>
      <c r="O53" s="34">
        <f t="shared" si="103"/>
        <v>0</v>
      </c>
      <c r="P53" s="34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</row>
    <row r="54" ht="22.5" spans="1:31">
      <c r="A54" s="40" t="s">
        <v>373</v>
      </c>
      <c r="B54" s="41" t="s">
        <v>374</v>
      </c>
      <c r="C54" s="42">
        <f t="shared" si="91"/>
        <v>0</v>
      </c>
      <c r="D54" s="34">
        <f t="shared" si="92"/>
        <v>0</v>
      </c>
      <c r="E54" s="34">
        <f t="shared" si="93"/>
        <v>0</v>
      </c>
      <c r="F54" s="34">
        <f t="shared" si="94"/>
        <v>0</v>
      </c>
      <c r="G54" s="34">
        <f t="shared" si="95"/>
        <v>0</v>
      </c>
      <c r="H54" s="34">
        <f t="shared" si="96"/>
        <v>0</v>
      </c>
      <c r="I54" s="34">
        <f t="shared" si="97"/>
        <v>0</v>
      </c>
      <c r="J54" s="34">
        <f t="shared" si="98"/>
        <v>0</v>
      </c>
      <c r="K54" s="34">
        <f t="shared" si="99"/>
        <v>0</v>
      </c>
      <c r="L54" s="34">
        <f t="shared" si="100"/>
        <v>0</v>
      </c>
      <c r="M54" s="34">
        <f t="shared" si="101"/>
        <v>0</v>
      </c>
      <c r="N54" s="34">
        <f t="shared" si="102"/>
        <v>0</v>
      </c>
      <c r="O54" s="34">
        <f t="shared" si="103"/>
        <v>0</v>
      </c>
      <c r="P54" s="34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</row>
    <row r="55" spans="1:31">
      <c r="A55" s="40" t="s">
        <v>375</v>
      </c>
      <c r="B55" s="41" t="s">
        <v>376</v>
      </c>
      <c r="C55" s="42">
        <f t="shared" si="91"/>
        <v>0</v>
      </c>
      <c r="D55" s="34">
        <f t="shared" si="92"/>
        <v>0</v>
      </c>
      <c r="E55" s="34">
        <f t="shared" si="93"/>
        <v>0</v>
      </c>
      <c r="F55" s="34">
        <f t="shared" si="94"/>
        <v>0</v>
      </c>
      <c r="G55" s="34">
        <f t="shared" si="95"/>
        <v>0</v>
      </c>
      <c r="H55" s="34">
        <f t="shared" si="96"/>
        <v>0</v>
      </c>
      <c r="I55" s="34">
        <f t="shared" si="97"/>
        <v>0</v>
      </c>
      <c r="J55" s="34">
        <f t="shared" si="98"/>
        <v>0</v>
      </c>
      <c r="K55" s="34">
        <f t="shared" si="99"/>
        <v>0</v>
      </c>
      <c r="L55" s="34">
        <f t="shared" si="100"/>
        <v>0</v>
      </c>
      <c r="M55" s="34">
        <f t="shared" si="101"/>
        <v>0</v>
      </c>
      <c r="N55" s="34">
        <f t="shared" si="102"/>
        <v>0</v>
      </c>
      <c r="O55" s="34">
        <f t="shared" si="103"/>
        <v>0</v>
      </c>
      <c r="P55" s="34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</row>
    <row r="56" ht="34.5" spans="1:31">
      <c r="A56" s="40">
        <v>4</v>
      </c>
      <c r="B56" s="41" t="s">
        <v>377</v>
      </c>
      <c r="C56" s="42">
        <f t="shared" si="91"/>
        <v>181.528709566365</v>
      </c>
      <c r="D56" s="34">
        <f t="shared" si="92"/>
        <v>3.82581289493747</v>
      </c>
      <c r="E56" s="34">
        <f t="shared" si="93"/>
        <v>3.11263903732797</v>
      </c>
      <c r="F56" s="34">
        <f t="shared" si="94"/>
        <v>6.20322471183034</v>
      </c>
      <c r="G56" s="34">
        <f t="shared" si="95"/>
        <v>17.115100540569</v>
      </c>
      <c r="H56" s="34">
        <f t="shared" si="96"/>
        <v>16.5704090077947</v>
      </c>
      <c r="I56" s="34">
        <f t="shared" si="97"/>
        <v>16.0257174750203</v>
      </c>
      <c r="J56" s="34">
        <f t="shared" si="98"/>
        <v>15.481025942246</v>
      </c>
      <c r="K56" s="34">
        <f t="shared" si="99"/>
        <v>14.9363344094716</v>
      </c>
      <c r="L56" s="34">
        <f t="shared" si="100"/>
        <v>14.3916428766973</v>
      </c>
      <c r="M56" s="34">
        <f t="shared" si="101"/>
        <v>0</v>
      </c>
      <c r="N56" s="34">
        <f t="shared" si="102"/>
        <v>0</v>
      </c>
      <c r="O56" s="34">
        <f t="shared" si="103"/>
        <v>0</v>
      </c>
      <c r="P56" s="34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</row>
    <row r="57" ht="15" spans="1:31">
      <c r="A57" s="44">
        <v>5</v>
      </c>
      <c r="B57" s="45" t="s">
        <v>302</v>
      </c>
      <c r="C57" s="42">
        <f t="shared" si="91"/>
        <v>739.70514545415</v>
      </c>
      <c r="D57" s="34">
        <f t="shared" si="92"/>
        <v>26.0949442362424</v>
      </c>
      <c r="E57" s="34">
        <f t="shared" si="93"/>
        <v>29.2075832735704</v>
      </c>
      <c r="F57" s="34">
        <f t="shared" si="94"/>
        <v>35.4108079854007</v>
      </c>
      <c r="G57" s="34">
        <f t="shared" si="95"/>
        <v>17.115100540569</v>
      </c>
      <c r="H57" s="34">
        <f t="shared" si="96"/>
        <v>33.6855095483637</v>
      </c>
      <c r="I57" s="34">
        <f t="shared" si="97"/>
        <v>49.711227023384</v>
      </c>
      <c r="J57" s="34">
        <f t="shared" si="98"/>
        <v>65.19225296563</v>
      </c>
      <c r="K57" s="34">
        <f t="shared" si="99"/>
        <v>80.1285873751016</v>
      </c>
      <c r="L57" s="34">
        <f t="shared" si="100"/>
        <v>94.5202302517988</v>
      </c>
      <c r="M57" s="34">
        <f t="shared" si="101"/>
        <v>0</v>
      </c>
      <c r="N57" s="34">
        <f t="shared" si="102"/>
        <v>0</v>
      </c>
      <c r="O57" s="34">
        <f t="shared" si="103"/>
        <v>0</v>
      </c>
      <c r="P57" s="3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>
      <c r="A58" s="48"/>
      <c r="B58" s="49" t="s">
        <v>378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</row>
    <row r="59" ht="15.75" spans="1:31">
      <c r="A59" s="50"/>
      <c r="B59" s="49" t="s">
        <v>379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</row>
    <row r="60" ht="15.75" spans="1:31">
      <c r="A60" s="50"/>
      <c r="B60" s="49" t="s">
        <v>380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</row>
    <row r="61" ht="15.75" spans="1:31">
      <c r="A61" s="50"/>
      <c r="B61" s="49" t="s">
        <v>381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</row>
    <row r="65" spans="6:12">
      <c r="F65" s="10"/>
      <c r="G65" s="10"/>
      <c r="H65" s="10"/>
      <c r="I65" s="10"/>
      <c r="J65" s="10"/>
      <c r="K65" s="10"/>
      <c r="L65" s="10"/>
    </row>
    <row r="66" spans="6:12">
      <c r="F66" s="10"/>
      <c r="G66" s="10"/>
      <c r="H66" s="10"/>
      <c r="I66" s="10"/>
      <c r="J66" s="10"/>
      <c r="K66" s="10"/>
      <c r="L66" s="10"/>
    </row>
    <row r="67" spans="6:12">
      <c r="F67" s="10"/>
      <c r="G67" s="10"/>
      <c r="H67" s="10"/>
      <c r="I67" s="10"/>
      <c r="J67" s="10"/>
      <c r="K67" s="10"/>
      <c r="L67" s="10"/>
    </row>
    <row r="68" spans="6:12">
      <c r="F68" s="10"/>
      <c r="G68" s="10"/>
      <c r="H68" s="10"/>
      <c r="I68" s="10"/>
      <c r="J68" s="10"/>
      <c r="K68" s="10"/>
      <c r="L68" s="10"/>
    </row>
    <row r="69" spans="6:12">
      <c r="F69" s="10"/>
      <c r="G69" s="10"/>
      <c r="H69" s="10"/>
      <c r="I69" s="10"/>
      <c r="J69" s="10"/>
      <c r="K69" s="10"/>
      <c r="L69" s="10"/>
    </row>
    <row r="70" spans="6:12">
      <c r="F70" s="10"/>
      <c r="G70" s="10"/>
      <c r="H70" s="10"/>
      <c r="I70" s="10"/>
      <c r="J70" s="10"/>
      <c r="K70" s="10"/>
      <c r="L70" s="10"/>
    </row>
    <row r="71" spans="6:12">
      <c r="F71" s="10"/>
      <c r="G71" s="10"/>
      <c r="H71" s="10"/>
      <c r="I71" s="10"/>
      <c r="J71" s="10"/>
      <c r="K71" s="10"/>
      <c r="L71" s="10"/>
    </row>
    <row r="72" spans="6:12">
      <c r="F72" s="10"/>
      <c r="G72" s="10"/>
      <c r="H72" s="10"/>
      <c r="I72" s="10"/>
      <c r="J72" s="10"/>
      <c r="K72" s="10"/>
      <c r="L72" s="10"/>
    </row>
    <row r="73" spans="6:12">
      <c r="F73" s="10"/>
      <c r="G73" s="10"/>
      <c r="H73" s="10"/>
      <c r="I73" s="10"/>
      <c r="J73" s="10"/>
      <c r="K73" s="10"/>
      <c r="L73" s="10"/>
    </row>
    <row r="74" spans="6:12">
      <c r="F74" s="10"/>
      <c r="G74" s="10"/>
      <c r="H74" s="10"/>
      <c r="I74" s="10"/>
      <c r="J74" s="10"/>
      <c r="K74" s="10"/>
      <c r="L74" s="10"/>
    </row>
    <row r="75" spans="6:12">
      <c r="F75" s="10"/>
      <c r="G75" s="10"/>
      <c r="H75" s="10"/>
      <c r="I75" s="10"/>
      <c r="J75" s="10"/>
      <c r="K75" s="10"/>
      <c r="L75" s="10"/>
    </row>
    <row r="76" spans="6:12">
      <c r="F76" s="10"/>
      <c r="G76" s="10"/>
      <c r="H76" s="10"/>
      <c r="I76" s="10"/>
      <c r="J76" s="10"/>
      <c r="K76" s="10"/>
      <c r="L76" s="10"/>
    </row>
    <row r="77" spans="6:12">
      <c r="F77" s="10"/>
      <c r="G77" s="10"/>
      <c r="H77" s="10"/>
      <c r="I77" s="10"/>
      <c r="J77" s="10"/>
      <c r="K77" s="10"/>
      <c r="L77" s="10"/>
    </row>
    <row r="78" spans="6:12">
      <c r="F78" s="11"/>
      <c r="G78" s="12"/>
      <c r="H78" s="12"/>
      <c r="I78" s="12"/>
      <c r="J78" s="12"/>
      <c r="K78" s="12"/>
      <c r="L78" s="12"/>
    </row>
    <row r="79" spans="6:12">
      <c r="F79" s="12"/>
      <c r="G79" s="12"/>
      <c r="H79" s="12"/>
      <c r="I79" s="12"/>
      <c r="J79" s="12"/>
      <c r="K79" s="12"/>
      <c r="L79" s="12"/>
    </row>
    <row r="80" spans="6:12">
      <c r="F80" s="12"/>
      <c r="G80" s="12"/>
      <c r="H80" s="12"/>
      <c r="I80" s="12"/>
      <c r="J80" s="12"/>
      <c r="K80" s="12"/>
      <c r="L80" s="12"/>
    </row>
  </sheetData>
  <sheetProtection selectLockedCells="1" autoFilter="0"/>
  <mergeCells count="14">
    <mergeCell ref="A1:P1"/>
    <mergeCell ref="A2:P2"/>
    <mergeCell ref="B28:Q28"/>
    <mergeCell ref="B29:Q29"/>
    <mergeCell ref="B30:Q30"/>
    <mergeCell ref="B31:Q31"/>
    <mergeCell ref="A32:P32"/>
    <mergeCell ref="A33:P33"/>
    <mergeCell ref="B58:Q58"/>
    <mergeCell ref="B59:Q59"/>
    <mergeCell ref="B60:Q60"/>
    <mergeCell ref="B61:Q61"/>
    <mergeCell ref="F65:L77"/>
    <mergeCell ref="F78:L80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7"/>
  <sheetViews>
    <sheetView topLeftCell="A10" workbookViewId="0">
      <selection activeCell="D45" sqref="D45:J47"/>
    </sheetView>
  </sheetViews>
  <sheetFormatPr defaultColWidth="10" defaultRowHeight="14.25"/>
  <cols>
    <col min="1" max="1" width="10" style="1"/>
    <col min="2" max="2" width="16.25" style="1" customWidth="1"/>
    <col min="3" max="16384" width="10" style="1"/>
  </cols>
  <sheetData>
    <row r="1" s="14" customFormat="1" ht="20.25" spans="1:28">
      <c r="A1" s="15" t="s">
        <v>383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="14" customFormat="1" spans="1:15">
      <c r="A2" s="16" t="s">
        <v>215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28">
      <c r="A3" s="17" t="s">
        <v>3</v>
      </c>
      <c r="B3" s="18" t="s">
        <v>243</v>
      </c>
      <c r="C3" s="19" t="s">
        <v>128</v>
      </c>
      <c r="D3" s="19" t="s">
        <v>158</v>
      </c>
      <c r="E3" s="19" t="s">
        <v>159</v>
      </c>
      <c r="F3" s="19" t="s">
        <v>160</v>
      </c>
      <c r="G3" s="19" t="s">
        <v>161</v>
      </c>
      <c r="H3" s="19" t="s">
        <v>162</v>
      </c>
      <c r="I3" s="19" t="s">
        <v>163</v>
      </c>
      <c r="J3" s="19" t="s">
        <v>164</v>
      </c>
      <c r="K3" s="19" t="s">
        <v>165</v>
      </c>
      <c r="L3" s="19" t="s">
        <v>166</v>
      </c>
      <c r="M3" s="19" t="s">
        <v>167</v>
      </c>
      <c r="N3" s="19" t="s">
        <v>168</v>
      </c>
      <c r="O3" s="36" t="s">
        <v>169</v>
      </c>
      <c r="P3" s="36" t="s">
        <v>170</v>
      </c>
      <c r="Q3" s="36" t="s">
        <v>171</v>
      </c>
      <c r="R3" s="36" t="s">
        <v>172</v>
      </c>
      <c r="S3" s="36" t="s">
        <v>173</v>
      </c>
      <c r="T3" s="36" t="s">
        <v>174</v>
      </c>
      <c r="U3" s="36" t="s">
        <v>175</v>
      </c>
      <c r="V3" s="36" t="s">
        <v>176</v>
      </c>
      <c r="W3" s="36" t="s">
        <v>177</v>
      </c>
      <c r="X3" s="36" t="s">
        <v>178</v>
      </c>
      <c r="Y3" s="36" t="s">
        <v>179</v>
      </c>
      <c r="Z3" s="36" t="s">
        <v>180</v>
      </c>
      <c r="AA3" s="36" t="s">
        <v>181</v>
      </c>
      <c r="AB3" s="36"/>
    </row>
    <row r="4" spans="1:28">
      <c r="A4" s="20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>
      <c r="A5" s="23">
        <v>1</v>
      </c>
      <c r="B5" s="24" t="s">
        <v>384</v>
      </c>
      <c r="C5" s="25"/>
      <c r="D5" s="25">
        <f>D6+D7</f>
        <v>11.0821309318123</v>
      </c>
      <c r="E5" s="25">
        <f t="shared" ref="E5:X5" si="0">E6+E7</f>
        <v>10.4895464716546</v>
      </c>
      <c r="F5" s="25">
        <f t="shared" si="0"/>
        <v>9.83677238654507</v>
      </c>
      <c r="G5" s="25">
        <f t="shared" si="0"/>
        <v>9.17890089031424</v>
      </c>
      <c r="H5" s="25">
        <f t="shared" si="0"/>
        <v>8.15993150504584</v>
      </c>
      <c r="I5" s="25">
        <f t="shared" si="0"/>
        <v>7.45375007987513</v>
      </c>
      <c r="J5" s="25">
        <f t="shared" si="0"/>
        <v>6.7923887305491</v>
      </c>
      <c r="K5" s="25">
        <f t="shared" si="0"/>
        <v>9.93757960753141</v>
      </c>
      <c r="L5" s="25">
        <f t="shared" si="0"/>
        <v>9.26330230166336</v>
      </c>
      <c r="M5" s="25">
        <f t="shared" si="0"/>
        <v>8.58204032262556</v>
      </c>
      <c r="N5" s="25">
        <f t="shared" si="0"/>
        <v>7.89341719653415</v>
      </c>
      <c r="O5" s="25">
        <f t="shared" si="0"/>
        <v>7.19703615756296</v>
      </c>
      <c r="P5" s="25">
        <f t="shared" si="0"/>
        <v>6.49247905420775</v>
      </c>
      <c r="Q5" s="25">
        <f t="shared" si="0"/>
        <v>5.77930519659825</v>
      </c>
      <c r="R5" s="25">
        <f t="shared" si="0"/>
        <v>8.86989087110061</v>
      </c>
      <c r="S5" s="25">
        <f t="shared" si="0"/>
        <v>17.115100540569</v>
      </c>
      <c r="T5" s="25">
        <f t="shared" si="0"/>
        <v>16.5704090077947</v>
      </c>
      <c r="U5" s="25">
        <f t="shared" si="0"/>
        <v>16.0257174750203</v>
      </c>
      <c r="V5" s="25">
        <f t="shared" si="0"/>
        <v>15.481025942246</v>
      </c>
      <c r="W5" s="25">
        <f t="shared" si="0"/>
        <v>14.9363344094716</v>
      </c>
      <c r="X5" s="25">
        <f t="shared" si="0"/>
        <v>14.3916428766973</v>
      </c>
      <c r="Y5" s="25"/>
      <c r="Z5" s="25"/>
      <c r="AA5" s="25"/>
      <c r="AB5" s="25"/>
    </row>
    <row r="6" spans="1:28">
      <c r="A6" s="23">
        <v>1.1</v>
      </c>
      <c r="B6" s="24" t="s">
        <v>247</v>
      </c>
      <c r="C6" s="25"/>
      <c r="D6" s="25">
        <f>'表5 利润与利润分配表'!D11</f>
        <v>3.1054476980623</v>
      </c>
      <c r="E6" s="25">
        <f>'表5 利润与利润分配表'!E11</f>
        <v>2.87180292820962</v>
      </c>
      <c r="F6" s="25">
        <f>'表5 利润与利润分配表'!F11</f>
        <v>2.59731538271254</v>
      </c>
      <c r="G6" s="25">
        <f>'表5 利润与利润分配表'!G11</f>
        <v>2.33812007057926</v>
      </c>
      <c r="H6" s="25">
        <f>'表5 利润与利润分配表'!H11</f>
        <v>1.73931551573128</v>
      </c>
      <c r="I6" s="25">
        <f>'表5 利润与利润分配表'!I11</f>
        <v>1.47594580534066</v>
      </c>
      <c r="J6" s="25">
        <f>'表5 利润与利润分配表'!J11</f>
        <v>1.28126372222136</v>
      </c>
      <c r="K6" s="25">
        <f>'表5 利润与利润分配表'!K11</f>
        <v>4.91828787785894</v>
      </c>
      <c r="L6" s="25">
        <f>'表5 利润与利润分配表'!L11</f>
        <v>4.76235366436568</v>
      </c>
      <c r="M6" s="25">
        <f>'表5 利润与利润分配表'!M11</f>
        <v>4.62737347038167</v>
      </c>
      <c r="N6" s="25">
        <f>'表5 利润与利润分配表'!N11</f>
        <v>4.51447671755846</v>
      </c>
      <c r="O6" s="25">
        <f>'表5 利润与利润分配表'!O11</f>
        <v>4.42485370337461</v>
      </c>
      <c r="P6" s="25">
        <f>'表5 利润与利润分配表'!P11</f>
        <v>4.35975888234279</v>
      </c>
      <c r="Q6" s="25">
        <f>'表5 利润与利润分配表'!Q11</f>
        <v>4.3205143240739</v>
      </c>
      <c r="R6" s="25">
        <f>'表5 利润与利润分配表'!R11</f>
        <v>8.12135408715134</v>
      </c>
      <c r="S6" s="25">
        <f>'表5 利润与利润分配表'!S11</f>
        <v>17.115100540569</v>
      </c>
      <c r="T6" s="25">
        <f>'表5 利润与利润分配表'!T11</f>
        <v>16.5704090077947</v>
      </c>
      <c r="U6" s="25">
        <f>'表5 利润与利润分配表'!U11</f>
        <v>16.0257174750203</v>
      </c>
      <c r="V6" s="25">
        <f>'表5 利润与利润分配表'!V11</f>
        <v>15.481025942246</v>
      </c>
      <c r="W6" s="25">
        <f>'表5 利润与利润分配表'!W11</f>
        <v>14.9363344094716</v>
      </c>
      <c r="X6" s="25">
        <f>'表5 利润与利润分配表'!X11</f>
        <v>14.3916428766973</v>
      </c>
      <c r="Y6" s="25"/>
      <c r="Z6" s="25"/>
      <c r="AA6" s="25"/>
      <c r="AB6" s="25"/>
    </row>
    <row r="7" spans="1:28">
      <c r="A7" s="23">
        <v>1.2</v>
      </c>
      <c r="B7" s="24" t="s">
        <v>239</v>
      </c>
      <c r="C7" s="25">
        <f>'表6 还本付息表'!D8</f>
        <v>0</v>
      </c>
      <c r="D7" s="25">
        <f>'表6 还本付息表'!E8</f>
        <v>7.97668323375</v>
      </c>
      <c r="E7" s="25">
        <f>'表6 还本付息表'!F8</f>
        <v>7.61774354344499</v>
      </c>
      <c r="F7" s="25">
        <f>'表6 还本付息表'!G8</f>
        <v>7.23945700383254</v>
      </c>
      <c r="G7" s="25">
        <f>'表6 还本付息表'!H8</f>
        <v>6.84078081973497</v>
      </c>
      <c r="H7" s="25">
        <f>'表6 还本付息表'!I8</f>
        <v>6.42061598931455</v>
      </c>
      <c r="I7" s="25">
        <f>'表6 还本付息表'!J8</f>
        <v>5.97780427453447</v>
      </c>
      <c r="J7" s="25">
        <f>'表6 还本付息表'!K8</f>
        <v>5.51112500832774</v>
      </c>
      <c r="K7" s="25">
        <f>'表6 还本付息表'!L8</f>
        <v>5.01929172967247</v>
      </c>
      <c r="L7" s="25">
        <f>'表6 还本付息表'!M8</f>
        <v>4.50094863729768</v>
      </c>
      <c r="M7" s="25">
        <f>'表6 还本付息表'!N8</f>
        <v>3.95466685224389</v>
      </c>
      <c r="N7" s="25">
        <f>'表6 还本付息表'!O8</f>
        <v>3.37894047897569</v>
      </c>
      <c r="O7" s="25">
        <f>'表6 还本付息表'!P8</f>
        <v>2.77218245418835</v>
      </c>
      <c r="P7" s="25">
        <f>'表6 还本付息表'!Q8</f>
        <v>2.13272017186496</v>
      </c>
      <c r="Q7" s="25">
        <f>'表6 还本付息表'!R8</f>
        <v>1.45879087252435</v>
      </c>
      <c r="R7" s="25">
        <f>'表6 还本付息表'!S8</f>
        <v>0.748536783949273</v>
      </c>
      <c r="S7" s="25">
        <f>'表6 还本付息表'!T8</f>
        <v>0</v>
      </c>
      <c r="T7" s="25">
        <f>'表6 还本付息表'!U8</f>
        <v>0</v>
      </c>
      <c r="U7" s="25">
        <f>'表6 还本付息表'!V8</f>
        <v>0</v>
      </c>
      <c r="V7" s="25">
        <f>'表6 还本付息表'!W8</f>
        <v>0</v>
      </c>
      <c r="W7" s="25">
        <f>'表6 还本付息表'!X8</f>
        <v>0</v>
      </c>
      <c r="X7" s="25">
        <f>'表6 还本付息表'!Y8</f>
        <v>0</v>
      </c>
      <c r="Y7" s="25"/>
      <c r="Z7" s="25"/>
      <c r="AA7" s="25"/>
      <c r="AB7" s="25"/>
    </row>
    <row r="8" spans="1:28">
      <c r="A8" s="23">
        <v>2</v>
      </c>
      <c r="B8" s="26" t="s">
        <v>385</v>
      </c>
      <c r="C8" s="25">
        <f>C9+C10+C11</f>
        <v>420.9904125</v>
      </c>
      <c r="D8" s="25">
        <f>(D9+D10+D11)*0.05</f>
        <v>10.3718248370784</v>
      </c>
      <c r="E8" s="25">
        <f t="shared" ref="E8:X8" si="1">(E9+E10+E11)*0.05</f>
        <v>10.164499826149</v>
      </c>
      <c r="F8" s="25">
        <f t="shared" si="1"/>
        <v>9.92453611096404</v>
      </c>
      <c r="G8" s="25">
        <f t="shared" si="1"/>
        <v>9.65167882096757</v>
      </c>
      <c r="H8" s="25">
        <f t="shared" si="1"/>
        <v>9.32787306170767</v>
      </c>
      <c r="I8" s="25">
        <f t="shared" si="1"/>
        <v>8.96875823118924</v>
      </c>
      <c r="J8" s="25">
        <f t="shared" si="1"/>
        <v>8.57657533320451</v>
      </c>
      <c r="K8" s="25">
        <f t="shared" si="1"/>
        <v>8.3416519790689</v>
      </c>
      <c r="L8" s="25">
        <f t="shared" si="1"/>
        <v>7.71427662741292</v>
      </c>
      <c r="M8" s="25">
        <f t="shared" si="1"/>
        <v>7.41157630903201</v>
      </c>
      <c r="N8" s="25">
        <f t="shared" si="1"/>
        <v>7.07444483434653</v>
      </c>
      <c r="O8" s="25">
        <f t="shared" si="1"/>
        <v>6.7024943077125</v>
      </c>
      <c r="P8" s="25">
        <f t="shared" si="1"/>
        <v>6.2953159259107</v>
      </c>
      <c r="Q8" s="25">
        <f t="shared" si="1"/>
        <v>5.85247885122842</v>
      </c>
      <c r="R8" s="25">
        <f t="shared" si="1"/>
        <v>5.56417106027127</v>
      </c>
      <c r="S8" s="25">
        <f t="shared" si="1"/>
        <v>6.41992608729972</v>
      </c>
      <c r="T8" s="25">
        <f t="shared" si="1"/>
        <v>6.12497580692418</v>
      </c>
      <c r="U8" s="25">
        <f t="shared" si="1"/>
        <v>6.9262616806752</v>
      </c>
      <c r="V8" s="25">
        <f t="shared" si="1"/>
        <v>7.70031297778749</v>
      </c>
      <c r="W8" s="25">
        <f t="shared" si="1"/>
        <v>8.44712969826108</v>
      </c>
      <c r="X8" s="25">
        <f t="shared" si="1"/>
        <v>9.16671184209594</v>
      </c>
      <c r="Y8" s="25"/>
      <c r="Z8" s="25"/>
      <c r="AA8" s="25"/>
      <c r="AB8" s="25"/>
    </row>
    <row r="9" spans="1:28">
      <c r="A9" s="23">
        <v>2.1</v>
      </c>
      <c r="B9" s="24" t="s">
        <v>316</v>
      </c>
      <c r="C9" s="25">
        <f>'表9 资产负债表'!D18</f>
        <v>63</v>
      </c>
      <c r="D9" s="25">
        <f>'表9 资产负债表'!E18</f>
        <v>66.1054476980623</v>
      </c>
      <c r="E9" s="25">
        <f>'表9 资产负债表'!F18</f>
        <v>68.9772506262719</v>
      </c>
      <c r="F9" s="25">
        <f>'表9 资产负债表'!G18</f>
        <v>71.5745660089845</v>
      </c>
      <c r="G9" s="25">
        <f>'表9 资产负债表'!H18</f>
        <v>73.9126860795637</v>
      </c>
      <c r="H9" s="25">
        <f>'表9 资产负债表'!I18</f>
        <v>75.652001595295</v>
      </c>
      <c r="I9" s="25">
        <f>'表9 资产负债表'!J18</f>
        <v>77.1279474006357</v>
      </c>
      <c r="J9" s="25">
        <f>'表9 资产负债表'!K18</f>
        <v>78.409211122857</v>
      </c>
      <c r="K9" s="25">
        <f>'表9 资产负债表'!L18</f>
        <v>83.327499000716</v>
      </c>
      <c r="L9" s="25">
        <f>'表9 资产负债表'!M18</f>
        <v>80.9150900205425</v>
      </c>
      <c r="M9" s="25">
        <f>'表9 资产负债表'!N18</f>
        <v>85.5424634909242</v>
      </c>
      <c r="N9" s="25">
        <f>'表9 资产负债表'!O18</f>
        <v>90.0569402084827</v>
      </c>
      <c r="O9" s="25">
        <f>'表9 资产负债表'!P18</f>
        <v>94.4817939118573</v>
      </c>
      <c r="P9" s="25">
        <f>'表9 资产负债表'!Q18</f>
        <v>98.8415527942001</v>
      </c>
      <c r="Q9" s="25">
        <f>'表9 资产负债表'!R18</f>
        <v>103.162067118274</v>
      </c>
      <c r="R9" s="25">
        <f>'表9 资产负债表'!S18</f>
        <v>111.283421205425</v>
      </c>
      <c r="S9" s="25">
        <f>'表9 资产负债表'!T18</f>
        <v>128.398521745994</v>
      </c>
      <c r="T9" s="25">
        <f>'表9 资产负债表'!U18</f>
        <v>122.499516138484</v>
      </c>
      <c r="U9" s="25">
        <f>'表9 资产负债表'!V18</f>
        <v>138.525233613504</v>
      </c>
      <c r="V9" s="25">
        <f>'表9 资产负债表'!W18</f>
        <v>154.00625955575</v>
      </c>
      <c r="W9" s="25">
        <f>'表9 资产负债表'!X18</f>
        <v>168.942593965221</v>
      </c>
      <c r="X9" s="25">
        <f>'表9 资产负债表'!Y18</f>
        <v>183.334236841919</v>
      </c>
      <c r="Y9" s="25"/>
      <c r="Z9" s="25"/>
      <c r="AA9" s="25"/>
      <c r="AB9" s="25"/>
    </row>
    <row r="10" spans="1:28">
      <c r="A10" s="23">
        <v>2.2</v>
      </c>
      <c r="B10" s="24" t="s">
        <v>386</v>
      </c>
      <c r="C10" s="25">
        <f>'表9 资产负债表'!D17</f>
        <v>147.9904125</v>
      </c>
      <c r="D10" s="25">
        <f>'表9 资产负债表'!E17</f>
        <v>141.331049043506</v>
      </c>
      <c r="E10" s="25">
        <f>'表9 资产负债表'!F17</f>
        <v>134.312745896708</v>
      </c>
      <c r="F10" s="25">
        <f>'表9 资产负债表'!G17</f>
        <v>126.916156210296</v>
      </c>
      <c r="G10" s="25">
        <f>'表9 资产负债表'!H17</f>
        <v>119.120890339788</v>
      </c>
      <c r="H10" s="25">
        <f>'表9 资产负债表'!I17</f>
        <v>110.905459638858</v>
      </c>
      <c r="I10" s="25">
        <f>'表9 资产负债表'!J17</f>
        <v>102.247217223149</v>
      </c>
      <c r="J10" s="25">
        <f>'表9 资产负债表'!K17</f>
        <v>93.1222955412332</v>
      </c>
      <c r="K10" s="25">
        <f>'表9 资产负债表'!L17</f>
        <v>83.5055405806619</v>
      </c>
      <c r="L10" s="25">
        <f>'表9 资产负债表'!M17</f>
        <v>73.3704425277159</v>
      </c>
      <c r="M10" s="25">
        <f>'表9 资产负债表'!N17</f>
        <v>62.689062689716</v>
      </c>
      <c r="N10" s="25">
        <f>'表9 资产负债表'!O17</f>
        <v>51.431956478448</v>
      </c>
      <c r="O10" s="25">
        <f>'表9 资产负债表'!P17</f>
        <v>39.5680922423926</v>
      </c>
      <c r="P10" s="25">
        <f>'表9 资产负债表'!Q17</f>
        <v>27.0647657240139</v>
      </c>
      <c r="Q10" s="25">
        <f>'表9 资产负债表'!R17</f>
        <v>13.8875099062945</v>
      </c>
      <c r="R10" s="25">
        <f>'表9 资产负债表'!S17</f>
        <v>3.23074900165921e-14</v>
      </c>
      <c r="S10" s="25">
        <f>'表9 资产负债表'!T17</f>
        <v>3.23074900165921e-14</v>
      </c>
      <c r="T10" s="25">
        <f>'表9 资产负债表'!U17</f>
        <v>3.23074900165921e-14</v>
      </c>
      <c r="U10" s="25">
        <f>'表9 资产负债表'!V17</f>
        <v>3.23074900165921e-14</v>
      </c>
      <c r="V10" s="25">
        <f>'表9 资产负债表'!W17</f>
        <v>3.23074900165921e-14</v>
      </c>
      <c r="W10" s="25">
        <f>'表9 资产负债表'!X17</f>
        <v>3.23074900165921e-14</v>
      </c>
      <c r="X10" s="25">
        <f>'表9 资产负债表'!Y17</f>
        <v>3.23074900165921e-14</v>
      </c>
      <c r="Y10" s="25"/>
      <c r="Z10" s="25"/>
      <c r="AA10" s="25"/>
      <c r="AB10" s="25"/>
    </row>
    <row r="11" spans="1:28">
      <c r="A11" s="23">
        <v>2.3</v>
      </c>
      <c r="B11" s="26" t="s">
        <v>303</v>
      </c>
      <c r="C11" s="25">
        <f>'表9 资产负债表'!D7</f>
        <v>210</v>
      </c>
      <c r="D11" s="25">
        <f>'表9 资产负债表'!E7</f>
        <v>0</v>
      </c>
      <c r="E11" s="25">
        <f>'表9 资产负债表'!F7</f>
        <v>0</v>
      </c>
      <c r="F11" s="25">
        <f>'表9 资产负债表'!G7</f>
        <v>0</v>
      </c>
      <c r="G11" s="25">
        <f>'表9 资产负债表'!H7</f>
        <v>0</v>
      </c>
      <c r="H11" s="25">
        <f>'表9 资产负债表'!I7</f>
        <v>0</v>
      </c>
      <c r="I11" s="25">
        <f>'表9 资产负债表'!J7</f>
        <v>0</v>
      </c>
      <c r="J11" s="25">
        <f>'表9 资产负债表'!K7</f>
        <v>0</v>
      </c>
      <c r="K11" s="25">
        <f>'表9 资产负债表'!L7</f>
        <v>0</v>
      </c>
      <c r="L11" s="25">
        <f>'表9 资产负债表'!M7</f>
        <v>0</v>
      </c>
      <c r="M11" s="25">
        <f>'表9 资产负债表'!N7</f>
        <v>0</v>
      </c>
      <c r="N11" s="25">
        <f>'表9 资产负债表'!O7</f>
        <v>0</v>
      </c>
      <c r="O11" s="25">
        <f>'表9 资产负债表'!P7</f>
        <v>0</v>
      </c>
      <c r="P11" s="25">
        <f>'表9 资产负债表'!Q7</f>
        <v>0</v>
      </c>
      <c r="Q11" s="25">
        <f>'表9 资产负债表'!R7</f>
        <v>0</v>
      </c>
      <c r="R11" s="25">
        <f>'表9 资产负债表'!S7</f>
        <v>0</v>
      </c>
      <c r="S11" s="25">
        <f>'表9 资产负债表'!T7</f>
        <v>0</v>
      </c>
      <c r="T11" s="25">
        <f>'表9 资产负债表'!U7</f>
        <v>0</v>
      </c>
      <c r="U11" s="25">
        <f>'表9 资产负债表'!V7</f>
        <v>0</v>
      </c>
      <c r="V11" s="25">
        <f>'表9 资产负债表'!W7</f>
        <v>0</v>
      </c>
      <c r="W11" s="25">
        <f>'表9 资产负债表'!X7</f>
        <v>0</v>
      </c>
      <c r="X11" s="25">
        <f>'表9 资产负债表'!Y7</f>
        <v>0</v>
      </c>
      <c r="Y11" s="25"/>
      <c r="Z11" s="25"/>
      <c r="AA11" s="25"/>
      <c r="AB11" s="25"/>
    </row>
    <row r="12" spans="1:28">
      <c r="A12" s="23">
        <v>3</v>
      </c>
      <c r="B12" s="26" t="s">
        <v>387</v>
      </c>
      <c r="C12" s="25"/>
      <c r="D12" s="25">
        <f>D5-D8</f>
        <v>0.71030609473387</v>
      </c>
      <c r="E12" s="25">
        <f t="shared" ref="E12:X12" si="2">E5-E8</f>
        <v>0.325046645505639</v>
      </c>
      <c r="F12" s="25">
        <f t="shared" si="2"/>
        <v>-0.08776372441897</v>
      </c>
      <c r="G12" s="25">
        <f t="shared" si="2"/>
        <v>-0.472777930653333</v>
      </c>
      <c r="H12" s="25">
        <f t="shared" si="2"/>
        <v>-1.16794155666184</v>
      </c>
      <c r="I12" s="25">
        <f t="shared" si="2"/>
        <v>-1.51500815131411</v>
      </c>
      <c r="J12" s="25">
        <f t="shared" si="2"/>
        <v>-1.78418660265541</v>
      </c>
      <c r="K12" s="25">
        <f t="shared" si="2"/>
        <v>1.59592762846252</v>
      </c>
      <c r="L12" s="25">
        <f t="shared" si="2"/>
        <v>1.54902567425044</v>
      </c>
      <c r="M12" s="25">
        <f t="shared" si="2"/>
        <v>1.17046401359355</v>
      </c>
      <c r="N12" s="25">
        <f t="shared" si="2"/>
        <v>0.81897236218762</v>
      </c>
      <c r="O12" s="25">
        <f t="shared" si="2"/>
        <v>0.494541849850461</v>
      </c>
      <c r="P12" s="25">
        <f t="shared" si="2"/>
        <v>0.197163128297055</v>
      </c>
      <c r="Q12" s="25">
        <f t="shared" si="2"/>
        <v>-0.0731736546301711</v>
      </c>
      <c r="R12" s="25">
        <f t="shared" si="2"/>
        <v>3.30571981082935</v>
      </c>
      <c r="S12" s="25">
        <f t="shared" si="2"/>
        <v>10.6951744532693</v>
      </c>
      <c r="T12" s="25">
        <f t="shared" si="2"/>
        <v>10.4454332008705</v>
      </c>
      <c r="U12" s="25">
        <f t="shared" si="2"/>
        <v>9.09945579434512</v>
      </c>
      <c r="V12" s="25">
        <f t="shared" si="2"/>
        <v>7.78071296445846</v>
      </c>
      <c r="W12" s="25">
        <f t="shared" si="2"/>
        <v>6.48920471121052</v>
      </c>
      <c r="X12" s="25">
        <f t="shared" si="2"/>
        <v>5.22493103460131</v>
      </c>
      <c r="Y12" s="25"/>
      <c r="Z12" s="25"/>
      <c r="AA12" s="25"/>
      <c r="AB12" s="25"/>
    </row>
    <row r="13" spans="1:28">
      <c r="A13" s="23">
        <v>4</v>
      </c>
      <c r="B13" s="26" t="s">
        <v>388</v>
      </c>
      <c r="C13" s="25"/>
      <c r="D13" s="25">
        <f>D12</f>
        <v>0.71030609473387</v>
      </c>
      <c r="E13" s="25">
        <f>E12-D13</f>
        <v>-0.385259449228231</v>
      </c>
      <c r="F13" s="25">
        <f t="shared" ref="F13:X13" si="3">F12-E13</f>
        <v>0.297495724809261</v>
      </c>
      <c r="G13" s="25">
        <f t="shared" si="3"/>
        <v>-0.770273655462594</v>
      </c>
      <c r="H13" s="25">
        <f t="shared" si="3"/>
        <v>-0.397667901199242</v>
      </c>
      <c r="I13" s="25">
        <f t="shared" si="3"/>
        <v>-1.11734025011487</v>
      </c>
      <c r="J13" s="25">
        <f t="shared" si="3"/>
        <v>-0.66684635254054</v>
      </c>
      <c r="K13" s="25">
        <f t="shared" si="3"/>
        <v>2.26277398100306</v>
      </c>
      <c r="L13" s="25">
        <f t="shared" si="3"/>
        <v>-0.713748306752618</v>
      </c>
      <c r="M13" s="25">
        <f t="shared" si="3"/>
        <v>1.88421232034616</v>
      </c>
      <c r="N13" s="25">
        <f t="shared" si="3"/>
        <v>-1.06523995815854</v>
      </c>
      <c r="O13" s="25">
        <f t="shared" si="3"/>
        <v>1.559781808009</v>
      </c>
      <c r="P13" s="25">
        <f t="shared" si="3"/>
        <v>-1.36261867971195</v>
      </c>
      <c r="Q13" s="25">
        <f t="shared" si="3"/>
        <v>1.28944502508178</v>
      </c>
      <c r="R13" s="25">
        <f t="shared" si="3"/>
        <v>2.01627478574757</v>
      </c>
      <c r="S13" s="25">
        <f t="shared" si="3"/>
        <v>8.67889966752174</v>
      </c>
      <c r="T13" s="25">
        <f t="shared" si="3"/>
        <v>1.76653353334875</v>
      </c>
      <c r="U13" s="25">
        <f t="shared" si="3"/>
        <v>7.33292226099637</v>
      </c>
      <c r="V13" s="25">
        <f t="shared" si="3"/>
        <v>0.447790703462098</v>
      </c>
      <c r="W13" s="25">
        <f t="shared" si="3"/>
        <v>6.04141400774842</v>
      </c>
      <c r="X13" s="25">
        <f t="shared" si="3"/>
        <v>-0.816482973147111</v>
      </c>
      <c r="Y13" s="25"/>
      <c r="Z13" s="25"/>
      <c r="AA13" s="25"/>
      <c r="AB13" s="25"/>
    </row>
    <row r="14" ht="15" spans="1:28">
      <c r="A14" s="27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7" ht="18.75" spans="1:16">
      <c r="A17" s="30" t="s">
        <v>382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ht="15" spans="1:16">
      <c r="A18" s="31" t="s">
        <v>215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5">
      <c r="A19" s="32" t="s">
        <v>3</v>
      </c>
      <c r="B19" s="33" t="s">
        <v>358</v>
      </c>
      <c r="C19" s="33" t="s">
        <v>170</v>
      </c>
      <c r="D19" s="33" t="s">
        <v>171</v>
      </c>
      <c r="E19" s="33" t="s">
        <v>172</v>
      </c>
      <c r="F19" s="33" t="s">
        <v>173</v>
      </c>
      <c r="G19" s="33" t="s">
        <v>174</v>
      </c>
      <c r="H19" s="33" t="s">
        <v>175</v>
      </c>
      <c r="I19" s="33" t="s">
        <v>176</v>
      </c>
      <c r="J19" s="33" t="s">
        <v>177</v>
      </c>
      <c r="K19" s="33" t="s">
        <v>178</v>
      </c>
      <c r="L19" s="33" t="s">
        <v>179</v>
      </c>
      <c r="M19" s="33" t="s">
        <v>180</v>
      </c>
      <c r="N19" s="33" t="s">
        <v>181</v>
      </c>
      <c r="O19" s="38"/>
    </row>
    <row r="20" spans="1:15">
      <c r="A20" s="23">
        <v>1</v>
      </c>
      <c r="B20" s="24" t="s">
        <v>384</v>
      </c>
      <c r="C20" s="34">
        <f>P5</f>
        <v>6.49247905420775</v>
      </c>
      <c r="D20" s="34">
        <f t="shared" ref="D20:N20" si="4">Q5</f>
        <v>5.77930519659825</v>
      </c>
      <c r="E20" s="34">
        <f t="shared" si="4"/>
        <v>8.86989087110061</v>
      </c>
      <c r="F20" s="34">
        <f t="shared" si="4"/>
        <v>17.115100540569</v>
      </c>
      <c r="G20" s="34">
        <f t="shared" si="4"/>
        <v>16.5704090077947</v>
      </c>
      <c r="H20" s="34">
        <f t="shared" si="4"/>
        <v>16.0257174750203</v>
      </c>
      <c r="I20" s="34">
        <f t="shared" si="4"/>
        <v>15.481025942246</v>
      </c>
      <c r="J20" s="34">
        <f t="shared" si="4"/>
        <v>14.9363344094716</v>
      </c>
      <c r="K20" s="34">
        <f t="shared" si="4"/>
        <v>14.3916428766973</v>
      </c>
      <c r="L20" s="34">
        <f t="shared" si="4"/>
        <v>0</v>
      </c>
      <c r="M20" s="34">
        <f t="shared" si="4"/>
        <v>0</v>
      </c>
      <c r="N20" s="34">
        <f t="shared" si="4"/>
        <v>0</v>
      </c>
      <c r="O20" s="34"/>
    </row>
    <row r="21" spans="1:15">
      <c r="A21" s="23">
        <v>1.1</v>
      </c>
      <c r="B21" s="24" t="s">
        <v>247</v>
      </c>
      <c r="C21" s="34">
        <f t="shared" ref="C21:C28" si="5">P6</f>
        <v>4.35975888234279</v>
      </c>
      <c r="D21" s="34">
        <f t="shared" ref="D21:D28" si="6">Q6</f>
        <v>4.3205143240739</v>
      </c>
      <c r="E21" s="34">
        <f t="shared" ref="E21:E28" si="7">R6</f>
        <v>8.12135408715134</v>
      </c>
      <c r="F21" s="34">
        <f t="shared" ref="F21:F28" si="8">S6</f>
        <v>17.115100540569</v>
      </c>
      <c r="G21" s="34">
        <f t="shared" ref="G21:G28" si="9">T6</f>
        <v>16.5704090077947</v>
      </c>
      <c r="H21" s="34">
        <f t="shared" ref="H21:H28" si="10">U6</f>
        <v>16.0257174750203</v>
      </c>
      <c r="I21" s="34">
        <f t="shared" ref="I21:I28" si="11">V6</f>
        <v>15.481025942246</v>
      </c>
      <c r="J21" s="34">
        <f t="shared" ref="J21:J28" si="12">W6</f>
        <v>14.9363344094716</v>
      </c>
      <c r="K21" s="34">
        <f t="shared" ref="K21:K28" si="13">X6</f>
        <v>14.3916428766973</v>
      </c>
      <c r="L21" s="34">
        <f t="shared" ref="L21:L28" si="14">Y6</f>
        <v>0</v>
      </c>
      <c r="M21" s="34">
        <f t="shared" ref="M21:M28" si="15">Z6</f>
        <v>0</v>
      </c>
      <c r="N21" s="34">
        <f t="shared" ref="N21:N28" si="16">AA6</f>
        <v>0</v>
      </c>
      <c r="O21" s="34"/>
    </row>
    <row r="22" spans="1:15">
      <c r="A22" s="23">
        <v>1.2</v>
      </c>
      <c r="B22" s="24" t="s">
        <v>239</v>
      </c>
      <c r="C22" s="34">
        <f t="shared" si="5"/>
        <v>2.13272017186496</v>
      </c>
      <c r="D22" s="34">
        <f t="shared" si="6"/>
        <v>1.45879087252435</v>
      </c>
      <c r="E22" s="34">
        <f t="shared" si="7"/>
        <v>0.748536783949273</v>
      </c>
      <c r="F22" s="34">
        <f t="shared" si="8"/>
        <v>0</v>
      </c>
      <c r="G22" s="34">
        <f t="shared" si="9"/>
        <v>0</v>
      </c>
      <c r="H22" s="34">
        <f t="shared" si="10"/>
        <v>0</v>
      </c>
      <c r="I22" s="34">
        <f t="shared" si="11"/>
        <v>0</v>
      </c>
      <c r="J22" s="34">
        <f t="shared" si="12"/>
        <v>0</v>
      </c>
      <c r="K22" s="34">
        <f t="shared" si="13"/>
        <v>0</v>
      </c>
      <c r="L22" s="34">
        <f t="shared" si="14"/>
        <v>0</v>
      </c>
      <c r="M22" s="34">
        <f t="shared" si="15"/>
        <v>0</v>
      </c>
      <c r="N22" s="34">
        <f t="shared" si="16"/>
        <v>0</v>
      </c>
      <c r="O22" s="34"/>
    </row>
    <row r="23" spans="1:15">
      <c r="A23" s="23">
        <v>2</v>
      </c>
      <c r="B23" s="26" t="s">
        <v>385</v>
      </c>
      <c r="C23" s="34">
        <f t="shared" si="5"/>
        <v>6.2953159259107</v>
      </c>
      <c r="D23" s="34">
        <f t="shared" si="6"/>
        <v>5.85247885122842</v>
      </c>
      <c r="E23" s="34">
        <f t="shared" si="7"/>
        <v>5.56417106027127</v>
      </c>
      <c r="F23" s="34">
        <f t="shared" si="8"/>
        <v>6.41992608729972</v>
      </c>
      <c r="G23" s="34">
        <f t="shared" si="9"/>
        <v>6.12497580692418</v>
      </c>
      <c r="H23" s="34">
        <f t="shared" si="10"/>
        <v>6.9262616806752</v>
      </c>
      <c r="I23" s="34">
        <f t="shared" si="11"/>
        <v>7.70031297778749</v>
      </c>
      <c r="J23" s="34">
        <f t="shared" si="12"/>
        <v>8.44712969826108</v>
      </c>
      <c r="K23" s="34">
        <f t="shared" si="13"/>
        <v>9.16671184209594</v>
      </c>
      <c r="L23" s="34">
        <f t="shared" si="14"/>
        <v>0</v>
      </c>
      <c r="M23" s="34">
        <f t="shared" si="15"/>
        <v>0</v>
      </c>
      <c r="N23" s="34">
        <f t="shared" si="16"/>
        <v>0</v>
      </c>
      <c r="O23" s="34"/>
    </row>
    <row r="24" spans="1:15">
      <c r="A24" s="23">
        <v>2.1</v>
      </c>
      <c r="B24" s="24" t="s">
        <v>316</v>
      </c>
      <c r="C24" s="34">
        <f t="shared" si="5"/>
        <v>98.8415527942001</v>
      </c>
      <c r="D24" s="34">
        <f t="shared" si="6"/>
        <v>103.162067118274</v>
      </c>
      <c r="E24" s="34">
        <f t="shared" si="7"/>
        <v>111.283421205425</v>
      </c>
      <c r="F24" s="34">
        <f t="shared" si="8"/>
        <v>128.398521745994</v>
      </c>
      <c r="G24" s="34">
        <f t="shared" si="9"/>
        <v>122.499516138484</v>
      </c>
      <c r="H24" s="34">
        <f t="shared" si="10"/>
        <v>138.525233613504</v>
      </c>
      <c r="I24" s="34">
        <f t="shared" si="11"/>
        <v>154.00625955575</v>
      </c>
      <c r="J24" s="34">
        <f t="shared" si="12"/>
        <v>168.942593965221</v>
      </c>
      <c r="K24" s="34">
        <f t="shared" si="13"/>
        <v>183.334236841919</v>
      </c>
      <c r="L24" s="34">
        <f t="shared" si="14"/>
        <v>0</v>
      </c>
      <c r="M24" s="34">
        <f t="shared" si="15"/>
        <v>0</v>
      </c>
      <c r="N24" s="34">
        <f t="shared" si="16"/>
        <v>0</v>
      </c>
      <c r="O24" s="34"/>
    </row>
    <row r="25" spans="1:15">
      <c r="A25" s="23">
        <v>2.2</v>
      </c>
      <c r="B25" s="24" t="s">
        <v>386</v>
      </c>
      <c r="C25" s="34">
        <f t="shared" si="5"/>
        <v>27.0647657240139</v>
      </c>
      <c r="D25" s="34">
        <f t="shared" si="6"/>
        <v>13.8875099062945</v>
      </c>
      <c r="E25" s="34">
        <f t="shared" si="7"/>
        <v>3.23074900165921e-14</v>
      </c>
      <c r="F25" s="34">
        <f t="shared" si="8"/>
        <v>3.23074900165921e-14</v>
      </c>
      <c r="G25" s="34">
        <f t="shared" si="9"/>
        <v>3.23074900165921e-14</v>
      </c>
      <c r="H25" s="34">
        <f t="shared" si="10"/>
        <v>3.23074900165921e-14</v>
      </c>
      <c r="I25" s="34">
        <f t="shared" si="11"/>
        <v>3.23074900165921e-14</v>
      </c>
      <c r="J25" s="34">
        <f t="shared" si="12"/>
        <v>3.23074900165921e-14</v>
      </c>
      <c r="K25" s="34">
        <f t="shared" si="13"/>
        <v>3.23074900165921e-14</v>
      </c>
      <c r="L25" s="34">
        <f t="shared" si="14"/>
        <v>0</v>
      </c>
      <c r="M25" s="34">
        <f t="shared" si="15"/>
        <v>0</v>
      </c>
      <c r="N25" s="34">
        <f t="shared" si="16"/>
        <v>0</v>
      </c>
      <c r="O25" s="34"/>
    </row>
    <row r="26" spans="1:15">
      <c r="A26" s="23">
        <v>2.3</v>
      </c>
      <c r="B26" s="26" t="s">
        <v>303</v>
      </c>
      <c r="C26" s="34">
        <f t="shared" si="5"/>
        <v>0</v>
      </c>
      <c r="D26" s="34">
        <f t="shared" si="6"/>
        <v>0</v>
      </c>
      <c r="E26" s="34">
        <f t="shared" si="7"/>
        <v>0</v>
      </c>
      <c r="F26" s="34">
        <f t="shared" si="8"/>
        <v>0</v>
      </c>
      <c r="G26" s="34">
        <f t="shared" si="9"/>
        <v>0</v>
      </c>
      <c r="H26" s="34">
        <f t="shared" si="10"/>
        <v>0</v>
      </c>
      <c r="I26" s="34">
        <f t="shared" si="11"/>
        <v>0</v>
      </c>
      <c r="J26" s="34">
        <f t="shared" si="12"/>
        <v>0</v>
      </c>
      <c r="K26" s="34">
        <f t="shared" si="13"/>
        <v>0</v>
      </c>
      <c r="L26" s="34">
        <f t="shared" si="14"/>
        <v>0</v>
      </c>
      <c r="M26" s="34">
        <f t="shared" si="15"/>
        <v>0</v>
      </c>
      <c r="N26" s="34">
        <f t="shared" si="16"/>
        <v>0</v>
      </c>
      <c r="O26" s="34"/>
    </row>
    <row r="27" spans="1:15">
      <c r="A27" s="23">
        <v>3</v>
      </c>
      <c r="B27" s="26" t="s">
        <v>387</v>
      </c>
      <c r="C27" s="34">
        <f t="shared" si="5"/>
        <v>0.197163128297055</v>
      </c>
      <c r="D27" s="34">
        <f t="shared" si="6"/>
        <v>-0.0731736546301711</v>
      </c>
      <c r="E27" s="34">
        <f t="shared" si="7"/>
        <v>3.30571981082935</v>
      </c>
      <c r="F27" s="34">
        <f t="shared" si="8"/>
        <v>10.6951744532693</v>
      </c>
      <c r="G27" s="34">
        <f t="shared" si="9"/>
        <v>10.4454332008705</v>
      </c>
      <c r="H27" s="34">
        <f t="shared" si="10"/>
        <v>9.09945579434512</v>
      </c>
      <c r="I27" s="34">
        <f t="shared" si="11"/>
        <v>7.78071296445846</v>
      </c>
      <c r="J27" s="34">
        <f t="shared" si="12"/>
        <v>6.48920471121052</v>
      </c>
      <c r="K27" s="34">
        <f t="shared" si="13"/>
        <v>5.22493103460131</v>
      </c>
      <c r="L27" s="34">
        <f t="shared" si="14"/>
        <v>0</v>
      </c>
      <c r="M27" s="34">
        <f t="shared" si="15"/>
        <v>0</v>
      </c>
      <c r="N27" s="34">
        <f t="shared" si="16"/>
        <v>0</v>
      </c>
      <c r="O27" s="34"/>
    </row>
    <row r="28" spans="1:15">
      <c r="A28" s="23">
        <v>4</v>
      </c>
      <c r="B28" s="26" t="s">
        <v>388</v>
      </c>
      <c r="C28" s="34">
        <f t="shared" si="5"/>
        <v>-1.36261867971195</v>
      </c>
      <c r="D28" s="34">
        <f t="shared" si="6"/>
        <v>1.28944502508178</v>
      </c>
      <c r="E28" s="34">
        <f t="shared" si="7"/>
        <v>2.01627478574757</v>
      </c>
      <c r="F28" s="34">
        <f t="shared" si="8"/>
        <v>8.67889966752174</v>
      </c>
      <c r="G28" s="34">
        <f t="shared" si="9"/>
        <v>1.76653353334875</v>
      </c>
      <c r="H28" s="34">
        <f t="shared" si="10"/>
        <v>7.33292226099637</v>
      </c>
      <c r="I28" s="34">
        <f t="shared" si="11"/>
        <v>0.447790703462098</v>
      </c>
      <c r="J28" s="34">
        <f t="shared" si="12"/>
        <v>6.04141400774842</v>
      </c>
      <c r="K28" s="34">
        <f t="shared" si="13"/>
        <v>-0.816482973147111</v>
      </c>
      <c r="L28" s="34">
        <f t="shared" si="14"/>
        <v>0</v>
      </c>
      <c r="M28" s="34">
        <f t="shared" si="15"/>
        <v>0</v>
      </c>
      <c r="N28" s="34">
        <f t="shared" si="16"/>
        <v>0</v>
      </c>
      <c r="O28" s="34"/>
    </row>
    <row r="32" spans="4:10">
      <c r="D32" s="10"/>
      <c r="E32" s="10"/>
      <c r="F32" s="10"/>
      <c r="G32" s="10"/>
      <c r="H32" s="10"/>
      <c r="I32" s="10"/>
      <c r="J32" s="10"/>
    </row>
    <row r="33" spans="4:10">
      <c r="D33" s="10"/>
      <c r="E33" s="10"/>
      <c r="F33" s="10"/>
      <c r="G33" s="10"/>
      <c r="H33" s="10"/>
      <c r="I33" s="10"/>
      <c r="J33" s="10"/>
    </row>
    <row r="34" spans="4:10">
      <c r="D34" s="10"/>
      <c r="E34" s="10"/>
      <c r="F34" s="10"/>
      <c r="G34" s="10"/>
      <c r="H34" s="10"/>
      <c r="I34" s="10"/>
      <c r="J34" s="10"/>
    </row>
    <row r="35" spans="4:10">
      <c r="D35" s="10"/>
      <c r="E35" s="10"/>
      <c r="F35" s="10"/>
      <c r="G35" s="10"/>
      <c r="H35" s="10"/>
      <c r="I35" s="10"/>
      <c r="J35" s="10"/>
    </row>
    <row r="36" spans="4:10">
      <c r="D36" s="10"/>
      <c r="E36" s="10"/>
      <c r="F36" s="10"/>
      <c r="G36" s="10"/>
      <c r="H36" s="10"/>
      <c r="I36" s="10"/>
      <c r="J36" s="10"/>
    </row>
    <row r="37" spans="4:10">
      <c r="D37" s="10"/>
      <c r="E37" s="10"/>
      <c r="F37" s="10"/>
      <c r="G37" s="10"/>
      <c r="H37" s="10"/>
      <c r="I37" s="10"/>
      <c r="J37" s="10"/>
    </row>
    <row r="38" spans="4:10">
      <c r="D38" s="10"/>
      <c r="E38" s="10"/>
      <c r="F38" s="10"/>
      <c r="G38" s="10"/>
      <c r="H38" s="10"/>
      <c r="I38" s="10"/>
      <c r="J38" s="10"/>
    </row>
    <row r="39" spans="4:10">
      <c r="D39" s="10"/>
      <c r="E39" s="10"/>
      <c r="F39" s="10"/>
      <c r="G39" s="10"/>
      <c r="H39" s="10"/>
      <c r="I39" s="10"/>
      <c r="J39" s="10"/>
    </row>
    <row r="40" spans="4:10">
      <c r="D40" s="10"/>
      <c r="E40" s="10"/>
      <c r="F40" s="10"/>
      <c r="G40" s="10"/>
      <c r="H40" s="10"/>
      <c r="I40" s="10"/>
      <c r="J40" s="10"/>
    </row>
    <row r="41" spans="4:10">
      <c r="D41" s="10"/>
      <c r="E41" s="10"/>
      <c r="F41" s="10"/>
      <c r="G41" s="10"/>
      <c r="H41" s="10"/>
      <c r="I41" s="10"/>
      <c r="J41" s="10"/>
    </row>
    <row r="42" spans="4:10">
      <c r="D42" s="10"/>
      <c r="E42" s="10"/>
      <c r="F42" s="10"/>
      <c r="G42" s="10"/>
      <c r="H42" s="10"/>
      <c r="I42" s="10"/>
      <c r="J42" s="10"/>
    </row>
    <row r="43" spans="4:10">
      <c r="D43" s="10"/>
      <c r="E43" s="10"/>
      <c r="F43" s="10"/>
      <c r="G43" s="10"/>
      <c r="H43" s="10"/>
      <c r="I43" s="10"/>
      <c r="J43" s="10"/>
    </row>
    <row r="44" spans="4:10">
      <c r="D44" s="10"/>
      <c r="E44" s="10"/>
      <c r="F44" s="10"/>
      <c r="G44" s="10"/>
      <c r="H44" s="10"/>
      <c r="I44" s="10"/>
      <c r="J44" s="10"/>
    </row>
    <row r="45" spans="4:10">
      <c r="D45" s="11"/>
      <c r="E45" s="12"/>
      <c r="F45" s="12"/>
      <c r="G45" s="12"/>
      <c r="H45" s="12"/>
      <c r="I45" s="12"/>
      <c r="J45" s="12"/>
    </row>
    <row r="46" spans="4:10">
      <c r="D46" s="12"/>
      <c r="E46" s="12"/>
      <c r="F46" s="12"/>
      <c r="G46" s="12"/>
      <c r="H46" s="12"/>
      <c r="I46" s="12"/>
      <c r="J46" s="12"/>
    </row>
    <row r="47" spans="4:10">
      <c r="D47" s="12"/>
      <c r="E47" s="12"/>
      <c r="F47" s="12"/>
      <c r="G47" s="12"/>
      <c r="H47" s="12"/>
      <c r="I47" s="12"/>
      <c r="J47" s="12"/>
    </row>
  </sheetData>
  <sheetProtection selectLockedCells="1" autoFilter="0"/>
  <mergeCells count="6">
    <mergeCell ref="A1:O1"/>
    <mergeCell ref="A2:O2"/>
    <mergeCell ref="A17:P17"/>
    <mergeCell ref="A18:P18"/>
    <mergeCell ref="D45:J47"/>
    <mergeCell ref="D32:J44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opLeftCell="F1" workbookViewId="0">
      <selection activeCell="K15" sqref="K15:Q17"/>
    </sheetView>
  </sheetViews>
  <sheetFormatPr defaultColWidth="10" defaultRowHeight="20.1" customHeight="1"/>
  <cols>
    <col min="1" max="1" width="11.375" style="1" customWidth="1"/>
    <col min="2" max="2" width="12.375" style="1" customWidth="1"/>
    <col min="3" max="3" width="16.875" style="1" customWidth="1"/>
    <col min="4" max="4" width="26.875" style="1" customWidth="1"/>
    <col min="5" max="5" width="32.5" style="1" customWidth="1"/>
    <col min="6" max="6" width="23.125" style="1" customWidth="1"/>
    <col min="7" max="7" width="34.875" style="1" customWidth="1"/>
    <col min="8" max="8" width="22.5" style="1" customWidth="1"/>
    <col min="9" max="9" width="27.875" style="1" customWidth="1"/>
    <col min="10" max="16384" width="10" style="1"/>
  </cols>
  <sheetData>
    <row r="1" customHeight="1" spans="1:9">
      <c r="A1" s="2" t="s">
        <v>389</v>
      </c>
      <c r="B1" s="3" t="s">
        <v>390</v>
      </c>
      <c r="C1" s="3" t="s">
        <v>391</v>
      </c>
      <c r="D1" s="3" t="s">
        <v>392</v>
      </c>
      <c r="E1" s="3" t="s">
        <v>393</v>
      </c>
      <c r="F1" s="3" t="s">
        <v>394</v>
      </c>
      <c r="G1" s="3" t="s">
        <v>395</v>
      </c>
      <c r="H1" s="3" t="s">
        <v>396</v>
      </c>
      <c r="I1" s="3" t="s">
        <v>397</v>
      </c>
    </row>
    <row r="2" customHeight="1" spans="1:17">
      <c r="A2" s="4" t="s">
        <v>398</v>
      </c>
      <c r="B2" s="5">
        <v>-10</v>
      </c>
      <c r="C2" s="7"/>
      <c r="D2" s="6"/>
      <c r="E2" s="6"/>
      <c r="F2" s="6"/>
      <c r="G2" s="13"/>
      <c r="H2" s="6"/>
      <c r="I2" s="6"/>
      <c r="K2" s="10"/>
      <c r="L2" s="10"/>
      <c r="M2" s="10"/>
      <c r="N2" s="10"/>
      <c r="O2" s="10"/>
      <c r="P2" s="10"/>
      <c r="Q2" s="10"/>
    </row>
    <row r="3" customHeight="1" spans="1:17">
      <c r="A3" s="8"/>
      <c r="B3" s="5">
        <v>-5</v>
      </c>
      <c r="C3" s="7"/>
      <c r="D3" s="6"/>
      <c r="E3" s="6"/>
      <c r="F3" s="6"/>
      <c r="G3" s="13"/>
      <c r="H3" s="6"/>
      <c r="I3" s="6"/>
      <c r="K3" s="10"/>
      <c r="L3" s="10"/>
      <c r="M3" s="10"/>
      <c r="N3" s="10"/>
      <c r="O3" s="10"/>
      <c r="P3" s="10"/>
      <c r="Q3" s="10"/>
    </row>
    <row r="4" customHeight="1" spans="1:17">
      <c r="A4" s="8"/>
      <c r="B4" s="5">
        <v>0</v>
      </c>
      <c r="C4" s="7">
        <f>基础数据!B27</f>
        <v>9.53426897419694</v>
      </c>
      <c r="D4" s="6">
        <f>基础数据!B30</f>
        <v>0.0992419374662301</v>
      </c>
      <c r="E4" s="6">
        <f>基础数据!B31</f>
        <v>0.0803239385684029</v>
      </c>
      <c r="F4" s="6">
        <f>基础数据!B32</f>
        <v>0.148377883290529</v>
      </c>
      <c r="G4" s="13">
        <f>基础数据!B29</f>
        <v>0.435473969461052</v>
      </c>
      <c r="H4" s="6">
        <f>基础数据!B33</f>
        <v>0.0615695026430855</v>
      </c>
      <c r="I4" s="6">
        <f>基础数据!B34</f>
        <v>0.113362368935573</v>
      </c>
      <c r="K4" s="10"/>
      <c r="L4" s="10"/>
      <c r="M4" s="10"/>
      <c r="N4" s="10"/>
      <c r="O4" s="10"/>
      <c r="P4" s="10"/>
      <c r="Q4" s="10"/>
    </row>
    <row r="5" customHeight="1" spans="1:17">
      <c r="A5" s="8"/>
      <c r="B5" s="5">
        <v>5</v>
      </c>
      <c r="C5" s="7"/>
      <c r="D5" s="6"/>
      <c r="E5" s="6"/>
      <c r="F5" s="6"/>
      <c r="G5" s="13"/>
      <c r="H5" s="6"/>
      <c r="I5" s="6"/>
      <c r="K5" s="10"/>
      <c r="L5" s="10"/>
      <c r="M5" s="10"/>
      <c r="N5" s="10"/>
      <c r="O5" s="10"/>
      <c r="P5" s="10"/>
      <c r="Q5" s="10"/>
    </row>
    <row r="6" customHeight="1" spans="1:17">
      <c r="A6" s="9"/>
      <c r="B6" s="5">
        <v>10</v>
      </c>
      <c r="C6" s="7"/>
      <c r="D6" s="6"/>
      <c r="E6" s="6"/>
      <c r="F6" s="6"/>
      <c r="G6" s="13"/>
      <c r="H6" s="6"/>
      <c r="I6" s="6"/>
      <c r="K6" s="10"/>
      <c r="L6" s="10"/>
      <c r="M6" s="10"/>
      <c r="N6" s="10"/>
      <c r="O6" s="10"/>
      <c r="P6" s="10"/>
      <c r="Q6" s="10"/>
    </row>
    <row r="7" customHeight="1" spans="1:17">
      <c r="A7" s="4" t="s">
        <v>399</v>
      </c>
      <c r="B7" s="5">
        <v>-10</v>
      </c>
      <c r="C7" s="7"/>
      <c r="D7" s="6"/>
      <c r="E7" s="6"/>
      <c r="F7" s="6"/>
      <c r="G7" s="13"/>
      <c r="H7" s="6"/>
      <c r="I7" s="6"/>
      <c r="K7" s="10"/>
      <c r="L7" s="10"/>
      <c r="M7" s="10"/>
      <c r="N7" s="10"/>
      <c r="O7" s="10"/>
      <c r="P7" s="10"/>
      <c r="Q7" s="10"/>
    </row>
    <row r="8" customHeight="1" spans="1:17">
      <c r="A8" s="8"/>
      <c r="B8" s="5">
        <v>-5</v>
      </c>
      <c r="C8" s="7"/>
      <c r="D8" s="6"/>
      <c r="E8" s="6"/>
      <c r="F8" s="6"/>
      <c r="G8" s="13"/>
      <c r="H8" s="6"/>
      <c r="I8" s="6"/>
      <c r="K8" s="10"/>
      <c r="L8" s="10"/>
      <c r="M8" s="10"/>
      <c r="N8" s="10"/>
      <c r="O8" s="10"/>
      <c r="P8" s="10"/>
      <c r="Q8" s="10"/>
    </row>
    <row r="9" customHeight="1" spans="1:17">
      <c r="A9" s="8"/>
      <c r="B9" s="5">
        <v>0</v>
      </c>
      <c r="C9" s="7">
        <f>C4</f>
        <v>9.53426897419694</v>
      </c>
      <c r="D9" s="7">
        <f t="shared" ref="D9:I9" si="0">D4</f>
        <v>0.0992419374662301</v>
      </c>
      <c r="E9" s="7">
        <f t="shared" si="0"/>
        <v>0.0803239385684029</v>
      </c>
      <c r="F9" s="7">
        <f t="shared" si="0"/>
        <v>0.148377883290529</v>
      </c>
      <c r="G9" s="7">
        <f t="shared" si="0"/>
        <v>0.435473969461052</v>
      </c>
      <c r="H9" s="7">
        <f t="shared" si="0"/>
        <v>0.0615695026430855</v>
      </c>
      <c r="I9" s="7">
        <f t="shared" si="0"/>
        <v>0.113362368935573</v>
      </c>
      <c r="K9" s="10"/>
      <c r="L9" s="10"/>
      <c r="M9" s="10"/>
      <c r="N9" s="10"/>
      <c r="O9" s="10"/>
      <c r="P9" s="10"/>
      <c r="Q9" s="10"/>
    </row>
    <row r="10" customHeight="1" spans="1:17">
      <c r="A10" s="8"/>
      <c r="B10" s="5">
        <v>5</v>
      </c>
      <c r="C10" s="7"/>
      <c r="D10" s="6"/>
      <c r="E10" s="6"/>
      <c r="F10" s="6"/>
      <c r="G10" s="13"/>
      <c r="H10" s="6"/>
      <c r="I10" s="6"/>
      <c r="K10" s="10"/>
      <c r="L10" s="10"/>
      <c r="M10" s="10"/>
      <c r="N10" s="10"/>
      <c r="O10" s="10"/>
      <c r="P10" s="10"/>
      <c r="Q10" s="10"/>
    </row>
    <row r="11" customHeight="1" spans="1:17">
      <c r="A11" s="9"/>
      <c r="B11" s="5">
        <v>10</v>
      </c>
      <c r="C11" s="7"/>
      <c r="D11" s="6"/>
      <c r="E11" s="6"/>
      <c r="F11" s="6"/>
      <c r="G11" s="13"/>
      <c r="H11" s="6"/>
      <c r="I11" s="6"/>
      <c r="K11" s="10"/>
      <c r="L11" s="10"/>
      <c r="M11" s="10"/>
      <c r="N11" s="10"/>
      <c r="O11" s="10"/>
      <c r="P11" s="10"/>
      <c r="Q11" s="10"/>
    </row>
    <row r="12" customHeight="1" spans="1:17">
      <c r="A12" s="4" t="s">
        <v>400</v>
      </c>
      <c r="B12" s="5">
        <v>-10</v>
      </c>
      <c r="C12" s="7"/>
      <c r="D12" s="6"/>
      <c r="E12" s="6"/>
      <c r="F12" s="6"/>
      <c r="G12" s="13"/>
      <c r="H12" s="6"/>
      <c r="I12" s="6"/>
      <c r="K12" s="10"/>
      <c r="L12" s="10"/>
      <c r="M12" s="10"/>
      <c r="N12" s="10"/>
      <c r="O12" s="10"/>
      <c r="P12" s="10"/>
      <c r="Q12" s="10"/>
    </row>
    <row r="13" customHeight="1" spans="1:17">
      <c r="A13" s="8"/>
      <c r="B13" s="5">
        <v>-5</v>
      </c>
      <c r="C13" s="7"/>
      <c r="D13" s="6"/>
      <c r="E13" s="6"/>
      <c r="F13" s="6"/>
      <c r="G13" s="13"/>
      <c r="H13" s="6"/>
      <c r="I13" s="6"/>
      <c r="K13" s="10"/>
      <c r="L13" s="10"/>
      <c r="M13" s="10"/>
      <c r="N13" s="10"/>
      <c r="O13" s="10"/>
      <c r="P13" s="10"/>
      <c r="Q13" s="10"/>
    </row>
    <row r="14" customHeight="1" spans="1:17">
      <c r="A14" s="8"/>
      <c r="B14" s="5">
        <v>0</v>
      </c>
      <c r="C14" s="7">
        <f>C4</f>
        <v>9.53426897419694</v>
      </c>
      <c r="D14" s="7">
        <f t="shared" ref="D14:I14" si="1">D4</f>
        <v>0.0992419374662301</v>
      </c>
      <c r="E14" s="7">
        <f t="shared" si="1"/>
        <v>0.0803239385684029</v>
      </c>
      <c r="F14" s="7">
        <f t="shared" si="1"/>
        <v>0.148377883290529</v>
      </c>
      <c r="G14" s="7">
        <f t="shared" si="1"/>
        <v>0.435473969461052</v>
      </c>
      <c r="H14" s="7">
        <f t="shared" si="1"/>
        <v>0.0615695026430855</v>
      </c>
      <c r="I14" s="7">
        <f t="shared" si="1"/>
        <v>0.113362368935573</v>
      </c>
      <c r="K14" s="10"/>
      <c r="L14" s="10"/>
      <c r="M14" s="10"/>
      <c r="N14" s="10"/>
      <c r="O14" s="10"/>
      <c r="P14" s="10"/>
      <c r="Q14" s="10"/>
    </row>
    <row r="15" customHeight="1" spans="1:17">
      <c r="A15" s="8"/>
      <c r="B15" s="5">
        <v>5</v>
      </c>
      <c r="C15" s="7"/>
      <c r="D15" s="6"/>
      <c r="E15" s="6"/>
      <c r="F15" s="6"/>
      <c r="G15" s="13"/>
      <c r="H15" s="6"/>
      <c r="I15" s="6"/>
      <c r="K15" s="11"/>
      <c r="L15" s="12"/>
      <c r="M15" s="12"/>
      <c r="N15" s="12"/>
      <c r="O15" s="12"/>
      <c r="P15" s="12"/>
      <c r="Q15" s="12"/>
    </row>
    <row r="16" customHeight="1" spans="1:17">
      <c r="A16" s="9"/>
      <c r="B16" s="5">
        <v>10</v>
      </c>
      <c r="C16" s="7"/>
      <c r="D16" s="6"/>
      <c r="E16" s="6"/>
      <c r="F16" s="6"/>
      <c r="G16" s="13"/>
      <c r="H16" s="6"/>
      <c r="I16" s="6"/>
      <c r="K16" s="12"/>
      <c r="L16" s="12"/>
      <c r="M16" s="12"/>
      <c r="N16" s="12"/>
      <c r="O16" s="12"/>
      <c r="P16" s="12"/>
      <c r="Q16" s="12"/>
    </row>
    <row r="17" customHeight="1" spans="11:17">
      <c r="K17" s="12"/>
      <c r="L17" s="12"/>
      <c r="M17" s="12"/>
      <c r="N17" s="12"/>
      <c r="O17" s="12"/>
      <c r="P17" s="12"/>
      <c r="Q17" s="12"/>
    </row>
  </sheetData>
  <sheetProtection selectLockedCells="1" autoFilter="0"/>
  <mergeCells count="5">
    <mergeCell ref="A2:A6"/>
    <mergeCell ref="A7:A11"/>
    <mergeCell ref="A12:A16"/>
    <mergeCell ref="K2:Q14"/>
    <mergeCell ref="K15:Q17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workbookViewId="0">
      <selection activeCell="I16" sqref="I16:O18"/>
    </sheetView>
  </sheetViews>
  <sheetFormatPr defaultColWidth="10" defaultRowHeight="14.25"/>
  <cols>
    <col min="1" max="1" width="18.625" style="1" customWidth="1"/>
    <col min="2" max="2" width="12.375" style="1" customWidth="1"/>
    <col min="3" max="3" width="26.875" style="1" customWidth="1"/>
    <col min="4" max="4" width="19.125" style="1" customWidth="1"/>
    <col min="5" max="16384" width="10" style="1"/>
  </cols>
  <sheetData>
    <row r="1" ht="20.1" customHeight="1" spans="1:4">
      <c r="A1" s="2" t="s">
        <v>389</v>
      </c>
      <c r="B1" s="3" t="s">
        <v>390</v>
      </c>
      <c r="C1" s="3" t="s">
        <v>393</v>
      </c>
      <c r="D1" s="3" t="s">
        <v>401</v>
      </c>
    </row>
    <row r="2" ht="20.1" customHeight="1" spans="1:4">
      <c r="A2" s="4" t="s">
        <v>402</v>
      </c>
      <c r="B2" s="5"/>
      <c r="C2" s="6">
        <f>'表13 单因素敏感性分析表'!E4</f>
        <v>0.0803239385684029</v>
      </c>
      <c r="D2" s="7"/>
    </row>
    <row r="3" ht="20.1" customHeight="1" spans="1:15">
      <c r="A3" s="4" t="s">
        <v>398</v>
      </c>
      <c r="B3" s="5">
        <v>-10</v>
      </c>
      <c r="C3" s="6"/>
      <c r="D3" s="7"/>
      <c r="I3" s="10"/>
      <c r="J3" s="10"/>
      <c r="K3" s="10"/>
      <c r="L3" s="10"/>
      <c r="M3" s="10"/>
      <c r="N3" s="10"/>
      <c r="O3" s="10"/>
    </row>
    <row r="4" ht="20.1" customHeight="1" spans="1:15">
      <c r="A4" s="8"/>
      <c r="B4" s="5">
        <v>-5</v>
      </c>
      <c r="C4" s="6"/>
      <c r="D4" s="7"/>
      <c r="I4" s="10"/>
      <c r="J4" s="10"/>
      <c r="K4" s="10"/>
      <c r="L4" s="10"/>
      <c r="M4" s="10"/>
      <c r="N4" s="10"/>
      <c r="O4" s="10"/>
    </row>
    <row r="5" ht="20.1" customHeight="1" spans="1:15">
      <c r="A5" s="8"/>
      <c r="B5" s="5">
        <v>0</v>
      </c>
      <c r="C5" s="6">
        <f>C2</f>
        <v>0.0803239385684029</v>
      </c>
      <c r="D5" s="7">
        <v>0</v>
      </c>
      <c r="I5" s="10"/>
      <c r="J5" s="10"/>
      <c r="K5" s="10"/>
      <c r="L5" s="10"/>
      <c r="M5" s="10"/>
      <c r="N5" s="10"/>
      <c r="O5" s="10"/>
    </row>
    <row r="6" ht="20.1" customHeight="1" spans="1:15">
      <c r="A6" s="8"/>
      <c r="B6" s="5">
        <v>5</v>
      </c>
      <c r="C6" s="6"/>
      <c r="D6" s="7"/>
      <c r="I6" s="10"/>
      <c r="J6" s="10"/>
      <c r="K6" s="10"/>
      <c r="L6" s="10"/>
      <c r="M6" s="10"/>
      <c r="N6" s="10"/>
      <c r="O6" s="10"/>
    </row>
    <row r="7" ht="20.1" customHeight="1" spans="1:15">
      <c r="A7" s="9"/>
      <c r="B7" s="5">
        <v>10</v>
      </c>
      <c r="C7" s="6"/>
      <c r="D7" s="7"/>
      <c r="I7" s="10"/>
      <c r="J7" s="10"/>
      <c r="K7" s="10"/>
      <c r="L7" s="10"/>
      <c r="M7" s="10"/>
      <c r="N7" s="10"/>
      <c r="O7" s="10"/>
    </row>
    <row r="8" ht="20.1" customHeight="1" spans="1:15">
      <c r="A8" s="4" t="s">
        <v>399</v>
      </c>
      <c r="B8" s="5">
        <v>-10</v>
      </c>
      <c r="C8" s="6"/>
      <c r="D8" s="7"/>
      <c r="I8" s="10"/>
      <c r="J8" s="10"/>
      <c r="K8" s="10"/>
      <c r="L8" s="10"/>
      <c r="M8" s="10"/>
      <c r="N8" s="10"/>
      <c r="O8" s="10"/>
    </row>
    <row r="9" ht="20.1" customHeight="1" spans="1:15">
      <c r="A9" s="8"/>
      <c r="B9" s="5">
        <v>-5</v>
      </c>
      <c r="C9" s="6"/>
      <c r="D9" s="7"/>
      <c r="I9" s="10"/>
      <c r="J9" s="10"/>
      <c r="K9" s="10"/>
      <c r="L9" s="10"/>
      <c r="M9" s="10"/>
      <c r="N9" s="10"/>
      <c r="O9" s="10"/>
    </row>
    <row r="10" ht="20.1" customHeight="1" spans="1:15">
      <c r="A10" s="8"/>
      <c r="B10" s="5">
        <v>0</v>
      </c>
      <c r="C10" s="6">
        <f>C2</f>
        <v>0.0803239385684029</v>
      </c>
      <c r="D10" s="7">
        <v>0</v>
      </c>
      <c r="I10" s="10"/>
      <c r="J10" s="10"/>
      <c r="K10" s="10"/>
      <c r="L10" s="10"/>
      <c r="M10" s="10"/>
      <c r="N10" s="10"/>
      <c r="O10" s="10"/>
    </row>
    <row r="11" ht="20.1" customHeight="1" spans="1:15">
      <c r="A11" s="8"/>
      <c r="B11" s="5">
        <v>5</v>
      </c>
      <c r="C11" s="6"/>
      <c r="D11" s="7"/>
      <c r="I11" s="10"/>
      <c r="J11" s="10"/>
      <c r="K11" s="10"/>
      <c r="L11" s="10"/>
      <c r="M11" s="10"/>
      <c r="N11" s="10"/>
      <c r="O11" s="10"/>
    </row>
    <row r="12" ht="20.1" customHeight="1" spans="1:15">
      <c r="A12" s="9"/>
      <c r="B12" s="5">
        <v>10</v>
      </c>
      <c r="C12" s="6"/>
      <c r="D12" s="7"/>
      <c r="I12" s="10"/>
      <c r="J12" s="10"/>
      <c r="K12" s="10"/>
      <c r="L12" s="10"/>
      <c r="M12" s="10"/>
      <c r="N12" s="10"/>
      <c r="O12" s="10"/>
    </row>
    <row r="13" ht="20.1" customHeight="1" spans="1:15">
      <c r="A13" s="4" t="s">
        <v>400</v>
      </c>
      <c r="B13" s="5">
        <v>-10</v>
      </c>
      <c r="C13" s="6"/>
      <c r="D13" s="7"/>
      <c r="I13" s="10"/>
      <c r="J13" s="10"/>
      <c r="K13" s="10"/>
      <c r="L13" s="10"/>
      <c r="M13" s="10"/>
      <c r="N13" s="10"/>
      <c r="O13" s="10"/>
    </row>
    <row r="14" ht="20.1" customHeight="1" spans="1:15">
      <c r="A14" s="8"/>
      <c r="B14" s="5">
        <v>-5</v>
      </c>
      <c r="C14" s="6"/>
      <c r="D14" s="7"/>
      <c r="I14" s="10"/>
      <c r="J14" s="10"/>
      <c r="K14" s="10"/>
      <c r="L14" s="10"/>
      <c r="M14" s="10"/>
      <c r="N14" s="10"/>
      <c r="O14" s="10"/>
    </row>
    <row r="15" ht="20.1" customHeight="1" spans="1:15">
      <c r="A15" s="8"/>
      <c r="B15" s="5">
        <v>0</v>
      </c>
      <c r="C15" s="6">
        <f>C2</f>
        <v>0.0803239385684029</v>
      </c>
      <c r="D15" s="7">
        <v>0</v>
      </c>
      <c r="I15" s="10"/>
      <c r="J15" s="10"/>
      <c r="K15" s="10"/>
      <c r="L15" s="10"/>
      <c r="M15" s="10"/>
      <c r="N15" s="10"/>
      <c r="O15" s="10"/>
    </row>
    <row r="16" ht="20.1" customHeight="1" spans="1:15">
      <c r="A16" s="8"/>
      <c r="B16" s="5">
        <v>5</v>
      </c>
      <c r="C16" s="6"/>
      <c r="D16" s="7"/>
      <c r="I16" s="11"/>
      <c r="J16" s="12"/>
      <c r="K16" s="12"/>
      <c r="L16" s="12"/>
      <c r="M16" s="12"/>
      <c r="N16" s="12"/>
      <c r="O16" s="12"/>
    </row>
    <row r="17" ht="20.1" customHeight="1" spans="1:15">
      <c r="A17" s="9"/>
      <c r="B17" s="5">
        <v>10</v>
      </c>
      <c r="C17" s="6"/>
      <c r="D17" s="7"/>
      <c r="I17" s="12"/>
      <c r="J17" s="12"/>
      <c r="K17" s="12"/>
      <c r="L17" s="12"/>
      <c r="M17" s="12"/>
      <c r="N17" s="12"/>
      <c r="O17" s="12"/>
    </row>
    <row r="18" spans="9:15">
      <c r="I18" s="12"/>
      <c r="J18" s="12"/>
      <c r="K18" s="12"/>
      <c r="L18" s="12"/>
      <c r="M18" s="12"/>
      <c r="N18" s="12"/>
      <c r="O18" s="12"/>
    </row>
  </sheetData>
  <sheetProtection selectLockedCells="1" autoFilter="0"/>
  <mergeCells count="5">
    <mergeCell ref="A3:A7"/>
    <mergeCell ref="A8:A12"/>
    <mergeCell ref="A13:A17"/>
    <mergeCell ref="I3:O15"/>
    <mergeCell ref="I16:O1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P50"/>
  <sheetViews>
    <sheetView topLeftCell="B19" workbookViewId="0">
      <selection activeCell="G48" sqref="G48:M50"/>
    </sheetView>
  </sheetViews>
  <sheetFormatPr defaultColWidth="10" defaultRowHeight="14.25"/>
  <cols>
    <col min="1" max="1" width="4.25" style="1" customWidth="1"/>
    <col min="2" max="2" width="15" style="1" customWidth="1"/>
    <col min="3" max="3" width="9" style="1" customWidth="1"/>
    <col min="4" max="4" width="8.5" style="1" customWidth="1"/>
    <col min="5" max="5" width="3.375" style="1" customWidth="1"/>
    <col min="6" max="6" width="22.75" style="1" customWidth="1"/>
    <col min="7" max="7" width="8.5" style="1" customWidth="1"/>
    <col min="8" max="8" width="7.375" style="1" customWidth="1"/>
    <col min="9" max="9" width="3.375" style="1" customWidth="1"/>
    <col min="10" max="10" width="26.125" style="1" customWidth="1"/>
    <col min="11" max="11" width="9.5" style="1" customWidth="1"/>
    <col min="12" max="12" width="4.875" style="1" customWidth="1"/>
    <col min="13" max="13" width="10" style="1"/>
    <col min="14" max="14" width="9.625" style="1" customWidth="1"/>
    <col min="15" max="15" width="12.125" style="1" customWidth="1"/>
    <col min="16" max="16" width="7.25" style="1" customWidth="1"/>
    <col min="17" max="17" width="4.75" style="1" customWidth="1"/>
    <col min="18" max="18" width="27.625" style="1" customWidth="1"/>
    <col min="19" max="19" width="6.625" style="1" customWidth="1"/>
    <col min="20" max="20" width="7.625" style="1" customWidth="1"/>
    <col min="21" max="16384" width="10" style="1"/>
  </cols>
  <sheetData>
    <row r="1" ht="18.75" spans="1:16">
      <c r="A1" s="193" t="s">
        <v>93</v>
      </c>
      <c r="B1" s="194"/>
      <c r="C1" s="194"/>
      <c r="D1" s="195"/>
      <c r="E1" s="193" t="s">
        <v>94</v>
      </c>
      <c r="F1" s="194"/>
      <c r="G1" s="194"/>
      <c r="H1" s="195"/>
      <c r="I1" s="193" t="s">
        <v>95</v>
      </c>
      <c r="J1" s="194"/>
      <c r="K1" s="194"/>
      <c r="L1" s="194"/>
      <c r="M1" s="193" t="s">
        <v>96</v>
      </c>
      <c r="N1" s="194"/>
      <c r="O1" s="194"/>
      <c r="P1" s="195"/>
    </row>
    <row r="2" ht="24" spans="1:16">
      <c r="A2" s="196"/>
      <c r="B2" s="197" t="s">
        <v>97</v>
      </c>
      <c r="C2" s="198" t="s">
        <v>98</v>
      </c>
      <c r="D2" s="199" t="s">
        <v>99</v>
      </c>
      <c r="E2" s="197">
        <v>1</v>
      </c>
      <c r="F2" s="197" t="s">
        <v>100</v>
      </c>
      <c r="G2" s="197">
        <v>1000</v>
      </c>
      <c r="H2" s="197" t="s">
        <v>13</v>
      </c>
      <c r="I2" s="197">
        <v>18</v>
      </c>
      <c r="J2" s="197" t="s">
        <v>101</v>
      </c>
      <c r="K2" s="197">
        <v>15</v>
      </c>
      <c r="L2" s="197" t="s">
        <v>11</v>
      </c>
      <c r="M2" s="205"/>
      <c r="N2" s="205"/>
      <c r="O2" s="205"/>
      <c r="P2" s="205"/>
    </row>
    <row r="3" spans="1:16">
      <c r="A3" s="196"/>
      <c r="B3" s="197" t="s">
        <v>102</v>
      </c>
      <c r="C3" s="200">
        <f>SUM(C4+C5+C8+C14)</f>
        <v>2.1</v>
      </c>
      <c r="D3" s="201">
        <f>SUM(D4+D5+D8+D14)</f>
        <v>210</v>
      </c>
      <c r="E3" s="197">
        <v>2</v>
      </c>
      <c r="F3" s="197" t="s">
        <v>103</v>
      </c>
      <c r="G3" s="202">
        <v>0.92</v>
      </c>
      <c r="H3" s="203"/>
      <c r="I3" s="197">
        <v>19</v>
      </c>
      <c r="J3" s="197" t="s">
        <v>104</v>
      </c>
      <c r="K3" s="202">
        <v>0.03</v>
      </c>
      <c r="L3" s="197"/>
      <c r="M3" s="205"/>
      <c r="N3" s="205"/>
      <c r="O3" s="222"/>
      <c r="P3" s="205"/>
    </row>
    <row r="4" spans="1:16">
      <c r="A4" s="196">
        <v>1</v>
      </c>
      <c r="B4" s="197" t="s">
        <v>105</v>
      </c>
      <c r="C4" s="197">
        <v>2.1</v>
      </c>
      <c r="D4" s="201">
        <f>C4*1000*G2/10000</f>
        <v>210</v>
      </c>
      <c r="E4" s="197">
        <v>3</v>
      </c>
      <c r="F4" s="197" t="s">
        <v>106</v>
      </c>
      <c r="G4" s="202">
        <v>0.92</v>
      </c>
      <c r="H4" s="197"/>
      <c r="I4" s="197">
        <v>20</v>
      </c>
      <c r="J4" s="197" t="s">
        <v>107</v>
      </c>
      <c r="K4" s="197">
        <v>0</v>
      </c>
      <c r="L4" s="197"/>
      <c r="M4" s="205"/>
      <c r="N4" s="205"/>
      <c r="O4" s="222"/>
      <c r="P4" s="205"/>
    </row>
    <row r="5" spans="1:16">
      <c r="A5" s="204">
        <v>2</v>
      </c>
      <c r="B5" s="205" t="s">
        <v>108</v>
      </c>
      <c r="C5" s="205">
        <f>C6+C7</f>
        <v>0</v>
      </c>
      <c r="D5" s="206">
        <f>D6+D7</f>
        <v>0</v>
      </c>
      <c r="E5" s="197">
        <v>4</v>
      </c>
      <c r="F5" s="197" t="s">
        <v>109</v>
      </c>
      <c r="G5" s="202">
        <v>0.9</v>
      </c>
      <c r="H5" s="197"/>
      <c r="I5" s="197">
        <v>21</v>
      </c>
      <c r="J5" s="197" t="s">
        <v>73</v>
      </c>
      <c r="K5" s="223">
        <v>0.0539</v>
      </c>
      <c r="L5" s="223"/>
      <c r="M5" s="205"/>
      <c r="N5" s="205"/>
      <c r="O5" s="224"/>
      <c r="P5" s="205"/>
    </row>
    <row r="6" spans="1:16">
      <c r="A6" s="204">
        <v>2.1</v>
      </c>
      <c r="B6" s="205" t="s">
        <v>110</v>
      </c>
      <c r="C6" s="205"/>
      <c r="D6" s="206">
        <f>C6*G2*100</f>
        <v>0</v>
      </c>
      <c r="E6" s="197">
        <v>5</v>
      </c>
      <c r="F6" s="197" t="s">
        <v>111</v>
      </c>
      <c r="G6" s="202">
        <f>90%</f>
        <v>0.9</v>
      </c>
      <c r="H6" s="197"/>
      <c r="I6" s="197">
        <v>22</v>
      </c>
      <c r="J6" s="197" t="s">
        <v>112</v>
      </c>
      <c r="K6" s="197">
        <v>15</v>
      </c>
      <c r="L6" s="197"/>
      <c r="M6" s="205"/>
      <c r="N6" s="205"/>
      <c r="O6" s="224"/>
      <c r="P6" s="205"/>
    </row>
    <row r="7" spans="1:16">
      <c r="A7" s="204">
        <v>2.2</v>
      </c>
      <c r="B7" s="205" t="s">
        <v>113</v>
      </c>
      <c r="C7" s="205"/>
      <c r="D7" s="206">
        <f>C7*G2*100</f>
        <v>0</v>
      </c>
      <c r="E7" s="197">
        <v>6</v>
      </c>
      <c r="F7" s="197" t="s">
        <v>114</v>
      </c>
      <c r="G7" s="197">
        <v>21</v>
      </c>
      <c r="H7" s="197" t="s">
        <v>11</v>
      </c>
      <c r="I7" s="197">
        <v>23</v>
      </c>
      <c r="J7" s="197" t="s">
        <v>68</v>
      </c>
      <c r="K7" s="202">
        <v>0.7</v>
      </c>
      <c r="L7" s="202"/>
      <c r="M7" s="205"/>
      <c r="N7" s="205"/>
      <c r="O7" s="205"/>
      <c r="P7" s="205"/>
    </row>
    <row r="8" spans="1:16">
      <c r="A8" s="204">
        <v>3</v>
      </c>
      <c r="B8" s="205" t="s">
        <v>115</v>
      </c>
      <c r="C8" s="205">
        <f>SUM(C9:C13)</f>
        <v>0</v>
      </c>
      <c r="D8" s="206">
        <f>SUM(D9:D13)</f>
        <v>0</v>
      </c>
      <c r="E8" s="197">
        <v>7</v>
      </c>
      <c r="F8" s="197" t="s">
        <v>29</v>
      </c>
      <c r="G8" s="197">
        <v>0.3506</v>
      </c>
      <c r="H8" s="197" t="s">
        <v>30</v>
      </c>
      <c r="I8" s="197">
        <v>24</v>
      </c>
      <c r="J8" s="197" t="s">
        <v>71</v>
      </c>
      <c r="K8" s="202">
        <f>1-K7</f>
        <v>0.3</v>
      </c>
      <c r="L8" s="202"/>
      <c r="M8" s="205"/>
      <c r="N8" s="208"/>
      <c r="O8" s="208"/>
      <c r="P8" s="208"/>
    </row>
    <row r="9" spans="1:16">
      <c r="A9" s="204">
        <v>3.1</v>
      </c>
      <c r="B9" s="205" t="s">
        <v>116</v>
      </c>
      <c r="C9" s="205"/>
      <c r="D9" s="206">
        <f>C9*G2*100</f>
        <v>0</v>
      </c>
      <c r="E9" s="197">
        <v>8</v>
      </c>
      <c r="F9" s="197" t="s">
        <v>34</v>
      </c>
      <c r="G9" s="197">
        <v>0.8562</v>
      </c>
      <c r="H9" s="197" t="s">
        <v>30</v>
      </c>
      <c r="I9" s="197">
        <v>25</v>
      </c>
      <c r="J9" s="197" t="s">
        <v>77</v>
      </c>
      <c r="K9" s="202">
        <v>0.13</v>
      </c>
      <c r="L9" s="202"/>
      <c r="M9" s="205"/>
      <c r="N9" s="208"/>
      <c r="O9" s="205"/>
      <c r="P9" s="205"/>
    </row>
    <row r="10" spans="1:16">
      <c r="A10" s="204">
        <v>3.2</v>
      </c>
      <c r="B10" s="205" t="s">
        <v>117</v>
      </c>
      <c r="C10" s="205"/>
      <c r="D10" s="206">
        <f>C10*G2*100</f>
        <v>0</v>
      </c>
      <c r="E10" s="197">
        <v>9</v>
      </c>
      <c r="F10" s="197" t="s">
        <v>37</v>
      </c>
      <c r="G10" s="197">
        <v>1.0397</v>
      </c>
      <c r="H10" s="197" t="s">
        <v>30</v>
      </c>
      <c r="I10" s="197">
        <v>26</v>
      </c>
      <c r="J10" s="197" t="s">
        <v>80</v>
      </c>
      <c r="K10" s="202">
        <v>0.05</v>
      </c>
      <c r="L10" s="202"/>
      <c r="M10" s="205"/>
      <c r="N10" s="208"/>
      <c r="O10" s="225"/>
      <c r="P10" s="205"/>
    </row>
    <row r="11" spans="1:16">
      <c r="A11" s="204">
        <v>3.3</v>
      </c>
      <c r="B11" s="205" t="s">
        <v>118</v>
      </c>
      <c r="C11" s="205"/>
      <c r="D11" s="206">
        <f>C11*G2*100</f>
        <v>0</v>
      </c>
      <c r="E11" s="197">
        <v>10</v>
      </c>
      <c r="F11" s="197" t="s">
        <v>119</v>
      </c>
      <c r="G11" s="197">
        <v>350</v>
      </c>
      <c r="H11" s="197" t="s">
        <v>120</v>
      </c>
      <c r="I11" s="197">
        <v>27</v>
      </c>
      <c r="J11" s="197" t="s">
        <v>83</v>
      </c>
      <c r="K11" s="202">
        <v>0.03</v>
      </c>
      <c r="L11" s="202"/>
      <c r="M11" s="205"/>
      <c r="N11" s="208"/>
      <c r="O11" s="208"/>
      <c r="P11" s="208"/>
    </row>
    <row r="12" spans="1:16">
      <c r="A12" s="204">
        <v>3.4</v>
      </c>
      <c r="B12" s="205" t="s">
        <v>121</v>
      </c>
      <c r="C12" s="205"/>
      <c r="D12" s="206">
        <f>C12*G2*100</f>
        <v>0</v>
      </c>
      <c r="E12" s="197">
        <v>11</v>
      </c>
      <c r="F12" s="197" t="s">
        <v>122</v>
      </c>
      <c r="G12" s="197">
        <v>1</v>
      </c>
      <c r="H12" s="197" t="s">
        <v>123</v>
      </c>
      <c r="I12" s="197">
        <v>28</v>
      </c>
      <c r="J12" s="197" t="s">
        <v>85</v>
      </c>
      <c r="K12" s="202">
        <v>0.02</v>
      </c>
      <c r="L12" s="202"/>
      <c r="M12" s="205"/>
      <c r="N12" s="208"/>
      <c r="O12" s="208"/>
      <c r="P12" s="208"/>
    </row>
    <row r="13" spans="1:16">
      <c r="A13" s="204">
        <v>3.5</v>
      </c>
      <c r="B13" s="205" t="s">
        <v>124</v>
      </c>
      <c r="C13" s="205"/>
      <c r="D13" s="206">
        <f>C13*G2*100</f>
        <v>0</v>
      </c>
      <c r="E13" s="197">
        <v>12</v>
      </c>
      <c r="F13" s="197" t="s">
        <v>125</v>
      </c>
      <c r="G13" s="197">
        <v>0.0285</v>
      </c>
      <c r="H13" s="197"/>
      <c r="I13" s="197">
        <v>29</v>
      </c>
      <c r="J13" s="197" t="s">
        <v>126</v>
      </c>
      <c r="K13" s="202">
        <v>0.25</v>
      </c>
      <c r="L13" s="202"/>
      <c r="M13" s="205"/>
      <c r="N13" s="205"/>
      <c r="O13" s="205"/>
      <c r="P13" s="205"/>
    </row>
    <row r="14" spans="1:16">
      <c r="A14" s="204">
        <v>4</v>
      </c>
      <c r="B14" s="205" t="s">
        <v>127</v>
      </c>
      <c r="C14" s="205">
        <f>SUM(C15:C17)</f>
        <v>0</v>
      </c>
      <c r="D14" s="206">
        <f>SUM(D15:D17)</f>
        <v>0</v>
      </c>
      <c r="E14" s="197">
        <v>13</v>
      </c>
      <c r="F14" s="197" t="s">
        <v>38</v>
      </c>
      <c r="G14" s="197">
        <v>3.5</v>
      </c>
      <c r="H14" s="197" t="s">
        <v>30</v>
      </c>
      <c r="I14" s="197">
        <v>30</v>
      </c>
      <c r="J14" s="197" t="s">
        <v>128</v>
      </c>
      <c r="K14" s="197">
        <v>0.125</v>
      </c>
      <c r="L14" s="197" t="s">
        <v>11</v>
      </c>
      <c r="M14" s="205"/>
      <c r="N14" s="205" t="s">
        <v>64</v>
      </c>
      <c r="O14" s="224">
        <f>K16*D3</f>
        <v>0.21</v>
      </c>
      <c r="P14" s="205" t="s">
        <v>65</v>
      </c>
    </row>
    <row r="15" spans="1:16">
      <c r="A15" s="204">
        <v>4.1</v>
      </c>
      <c r="B15" s="205" t="s">
        <v>129</v>
      </c>
      <c r="C15" s="205"/>
      <c r="D15" s="206">
        <f>C15*G2*100</f>
        <v>0</v>
      </c>
      <c r="E15" s="197">
        <v>14</v>
      </c>
      <c r="F15" s="197" t="s">
        <v>130</v>
      </c>
      <c r="G15" s="197">
        <v>5</v>
      </c>
      <c r="H15" s="207" t="s">
        <v>131</v>
      </c>
      <c r="I15" s="197">
        <v>31</v>
      </c>
      <c r="J15" s="197" t="s">
        <v>28</v>
      </c>
      <c r="K15" s="203">
        <f>D3*K7*K5*K14</f>
        <v>0.9904125</v>
      </c>
      <c r="L15" s="197" t="s">
        <v>15</v>
      </c>
      <c r="M15" s="205"/>
      <c r="N15" s="205"/>
      <c r="O15" s="224"/>
      <c r="P15" s="205"/>
    </row>
    <row r="16" spans="1:16">
      <c r="A16" s="204">
        <v>4.2</v>
      </c>
      <c r="B16" s="205" t="s">
        <v>132</v>
      </c>
      <c r="C16" s="205"/>
      <c r="D16" s="206">
        <f>C16*G2*100</f>
        <v>0</v>
      </c>
      <c r="E16" s="197">
        <v>15</v>
      </c>
      <c r="F16" s="197" t="s">
        <v>40</v>
      </c>
      <c r="G16" s="197">
        <v>1.2</v>
      </c>
      <c r="H16" s="197" t="s">
        <v>30</v>
      </c>
      <c r="I16" s="197">
        <v>32</v>
      </c>
      <c r="J16" s="197" t="s">
        <v>61</v>
      </c>
      <c r="K16" s="223">
        <v>0.001</v>
      </c>
      <c r="L16" s="226"/>
      <c r="M16" s="205"/>
      <c r="N16" s="205"/>
      <c r="O16" s="208"/>
      <c r="P16" s="205"/>
    </row>
    <row r="17" spans="1:16">
      <c r="A17" s="204">
        <v>4.3</v>
      </c>
      <c r="B17" s="205" t="s">
        <v>133</v>
      </c>
      <c r="C17" s="205"/>
      <c r="D17" s="206">
        <f>C17*G2*100</f>
        <v>0</v>
      </c>
      <c r="E17" s="197">
        <v>16</v>
      </c>
      <c r="F17" s="197" t="s">
        <v>134</v>
      </c>
      <c r="G17" s="197">
        <v>5</v>
      </c>
      <c r="H17" s="207" t="s">
        <v>131</v>
      </c>
      <c r="I17" s="197">
        <v>33</v>
      </c>
      <c r="J17" s="197" t="s">
        <v>135</v>
      </c>
      <c r="K17" s="202">
        <v>0.1</v>
      </c>
      <c r="L17" s="227"/>
      <c r="M17" s="205"/>
      <c r="N17" s="205"/>
      <c r="O17" s="224"/>
      <c r="P17" s="205"/>
    </row>
    <row r="18" spans="1:16">
      <c r="A18" s="208"/>
      <c r="B18" s="208" t="s">
        <v>136</v>
      </c>
      <c r="C18" s="208">
        <v>0</v>
      </c>
      <c r="D18" s="209"/>
      <c r="E18" s="197">
        <v>17</v>
      </c>
      <c r="F18" s="197" t="s">
        <v>44</v>
      </c>
      <c r="G18" s="202">
        <f>90%</f>
        <v>0.9</v>
      </c>
      <c r="H18" s="197"/>
      <c r="I18" s="197">
        <v>34</v>
      </c>
      <c r="J18" s="197" t="s">
        <v>137</v>
      </c>
      <c r="K18" s="226">
        <f>D3/(1+K9)*K9</f>
        <v>24.1592920353982</v>
      </c>
      <c r="L18" s="227"/>
      <c r="M18" s="205"/>
      <c r="N18" s="208"/>
      <c r="O18" s="208"/>
      <c r="P18" s="205"/>
    </row>
    <row r="19" ht="18.75" spans="1:16">
      <c r="A19" s="210"/>
      <c r="B19" s="210"/>
      <c r="C19" s="210"/>
      <c r="D19" s="210"/>
      <c r="E19" s="211" t="s">
        <v>138</v>
      </c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28"/>
    </row>
    <row r="20" spans="1:16">
      <c r="A20" s="210"/>
      <c r="B20" s="210"/>
      <c r="C20" s="210"/>
      <c r="D20" s="210"/>
      <c r="E20" s="213"/>
      <c r="F20" s="214" t="s">
        <v>12</v>
      </c>
      <c r="G20" s="215"/>
      <c r="H20" s="216" t="s">
        <v>139</v>
      </c>
      <c r="I20" s="217"/>
      <c r="J20" s="214" t="s">
        <v>140</v>
      </c>
      <c r="K20" s="215">
        <f>基础数据!B27</f>
        <v>9.53426897419694</v>
      </c>
      <c r="L20" s="217" t="s">
        <v>11</v>
      </c>
      <c r="M20" s="217"/>
      <c r="N20" s="217"/>
      <c r="O20" s="217"/>
      <c r="P20" s="229"/>
    </row>
    <row r="21" spans="1:16">
      <c r="A21" s="210"/>
      <c r="B21" s="210"/>
      <c r="C21" s="210"/>
      <c r="D21" s="210"/>
      <c r="E21" s="213"/>
      <c r="F21" s="214" t="s">
        <v>141</v>
      </c>
      <c r="G21" s="215"/>
      <c r="H21" s="217" t="s">
        <v>142</v>
      </c>
      <c r="I21" s="217"/>
      <c r="J21" s="217" t="s">
        <v>143</v>
      </c>
      <c r="K21" s="215">
        <f>'表7 项目资本金财务现金流量表'!H36</f>
        <v>5.77954073252771</v>
      </c>
      <c r="L21" s="217" t="s">
        <v>11</v>
      </c>
      <c r="M21" s="217"/>
      <c r="N21" s="217"/>
      <c r="O21" s="217"/>
      <c r="P21" s="229"/>
    </row>
    <row r="22" spans="1:16">
      <c r="A22" s="210"/>
      <c r="B22" s="210"/>
      <c r="C22" s="210"/>
      <c r="D22" s="210"/>
      <c r="E22" s="213"/>
      <c r="F22" s="217" t="s">
        <v>144</v>
      </c>
      <c r="G22" s="215"/>
      <c r="H22" s="217" t="s">
        <v>142</v>
      </c>
      <c r="I22" s="217"/>
      <c r="J22" s="214" t="s">
        <v>145</v>
      </c>
      <c r="K22" s="230">
        <f>基础数据!B30</f>
        <v>0.0992419374662301</v>
      </c>
      <c r="L22" s="217"/>
      <c r="M22" s="217"/>
      <c r="N22" s="217"/>
      <c r="O22" s="217"/>
      <c r="P22" s="229"/>
    </row>
    <row r="23" spans="1:16">
      <c r="A23" s="210"/>
      <c r="B23" s="210"/>
      <c r="C23" s="210"/>
      <c r="D23" s="210"/>
      <c r="E23" s="213"/>
      <c r="F23" s="214" t="s">
        <v>146</v>
      </c>
      <c r="G23" s="217"/>
      <c r="H23" s="217" t="s">
        <v>15</v>
      </c>
      <c r="I23" s="217"/>
      <c r="J23" s="214" t="s">
        <v>147</v>
      </c>
      <c r="K23" s="219">
        <f>基础数据!B31</f>
        <v>0.0803239385684029</v>
      </c>
      <c r="L23" s="217"/>
      <c r="M23" s="217"/>
      <c r="N23" s="217"/>
      <c r="O23" s="217"/>
      <c r="P23" s="229"/>
    </row>
    <row r="24" spans="1:16">
      <c r="A24" s="210"/>
      <c r="B24" s="210"/>
      <c r="C24" s="210"/>
      <c r="D24" s="210"/>
      <c r="E24" s="213"/>
      <c r="F24" s="217" t="s">
        <v>148</v>
      </c>
      <c r="G24" s="215">
        <f>D3</f>
        <v>210</v>
      </c>
      <c r="H24" s="217" t="s">
        <v>21</v>
      </c>
      <c r="I24" s="217"/>
      <c r="J24" s="217" t="s">
        <v>57</v>
      </c>
      <c r="K24" s="219">
        <f>基础数据!B32</f>
        <v>0.148377883290529</v>
      </c>
      <c r="L24" s="217"/>
      <c r="M24" s="217"/>
      <c r="N24" s="217"/>
      <c r="O24" s="217"/>
      <c r="P24" s="229"/>
    </row>
    <row r="25" spans="1:16">
      <c r="A25" s="210"/>
      <c r="B25" s="210"/>
      <c r="C25" s="210"/>
      <c r="D25" s="210"/>
      <c r="E25" s="213"/>
      <c r="F25" s="214" t="s">
        <v>103</v>
      </c>
      <c r="G25" s="218">
        <v>0.92</v>
      </c>
      <c r="H25" s="217"/>
      <c r="I25" s="217"/>
      <c r="J25" s="217" t="s">
        <v>149</v>
      </c>
      <c r="K25" s="219">
        <f>'表5 利润与利润分配表'!F22</f>
        <v>0.0577013341166654</v>
      </c>
      <c r="L25" s="217"/>
      <c r="M25" s="217"/>
      <c r="N25" s="217"/>
      <c r="O25" s="217"/>
      <c r="P25" s="229"/>
    </row>
    <row r="26" spans="1:16">
      <c r="A26" s="210"/>
      <c r="B26" s="210"/>
      <c r="C26" s="210"/>
      <c r="D26" s="210"/>
      <c r="E26" s="213"/>
      <c r="F26" s="214" t="s">
        <v>106</v>
      </c>
      <c r="G26" s="218">
        <v>0.92</v>
      </c>
      <c r="H26" s="217"/>
      <c r="I26" s="217"/>
      <c r="J26" s="217" t="s">
        <v>150</v>
      </c>
      <c r="K26" s="219">
        <f>'表5 利润与利润分配表'!C22</f>
        <v>0.0615695026430855</v>
      </c>
      <c r="L26" s="217"/>
      <c r="M26" s="217"/>
      <c r="N26" s="217"/>
      <c r="O26" s="217"/>
      <c r="P26" s="229"/>
    </row>
    <row r="27" spans="1:16">
      <c r="A27" s="210"/>
      <c r="B27" s="210"/>
      <c r="C27" s="210"/>
      <c r="D27" s="210"/>
      <c r="E27" s="213"/>
      <c r="F27" s="214" t="s">
        <v>109</v>
      </c>
      <c r="G27" s="218">
        <v>0.9</v>
      </c>
      <c r="H27" s="217"/>
      <c r="I27" s="217"/>
      <c r="J27" s="217" t="s">
        <v>151</v>
      </c>
      <c r="K27" s="219">
        <f>'表5 利润与利润分配表'!F23</f>
        <v>0.0492928206041634</v>
      </c>
      <c r="L27" s="217"/>
      <c r="M27" s="217"/>
      <c r="N27" s="217"/>
      <c r="O27" s="217"/>
      <c r="P27" s="229"/>
    </row>
    <row r="28" spans="1:16">
      <c r="A28" s="210"/>
      <c r="B28" s="210"/>
      <c r="C28" s="210"/>
      <c r="D28" s="210"/>
      <c r="E28" s="213"/>
      <c r="F28" s="214" t="s">
        <v>152</v>
      </c>
      <c r="G28" s="218">
        <v>0.9</v>
      </c>
      <c r="H28" s="217"/>
      <c r="I28" s="217"/>
      <c r="J28" s="217" t="s">
        <v>153</v>
      </c>
      <c r="K28" s="219">
        <f>'表5 利润与利润分配表'!C23</f>
        <v>0.113362368935573</v>
      </c>
      <c r="L28" s="217"/>
      <c r="M28" s="217"/>
      <c r="N28" s="217"/>
      <c r="O28" s="217"/>
      <c r="P28" s="229"/>
    </row>
    <row r="29" spans="1:16">
      <c r="A29" s="210"/>
      <c r="B29" s="210"/>
      <c r="C29" s="210"/>
      <c r="D29" s="210"/>
      <c r="E29" s="213"/>
      <c r="F29" s="214" t="s">
        <v>29</v>
      </c>
      <c r="G29" s="215">
        <f>G8</f>
        <v>0.3506</v>
      </c>
      <c r="H29" s="217" t="s">
        <v>30</v>
      </c>
      <c r="I29" s="217"/>
      <c r="J29" s="231" t="s">
        <v>154</v>
      </c>
      <c r="K29" s="232">
        <f>基础数据!B28</f>
        <v>27.2271423477326</v>
      </c>
      <c r="L29" s="217" t="s">
        <v>15</v>
      </c>
      <c r="M29" s="217"/>
      <c r="N29" s="217"/>
      <c r="O29" s="217"/>
      <c r="P29" s="229"/>
    </row>
    <row r="30" spans="1:16">
      <c r="A30" s="210"/>
      <c r="B30" s="210"/>
      <c r="C30" s="210"/>
      <c r="D30" s="210"/>
      <c r="E30" s="213"/>
      <c r="F30" s="214" t="s">
        <v>34</v>
      </c>
      <c r="G30" s="215">
        <f>G9</f>
        <v>0.8562</v>
      </c>
      <c r="H30" s="217" t="s">
        <v>30</v>
      </c>
      <c r="I30" s="217"/>
      <c r="J30" s="231" t="s">
        <v>79</v>
      </c>
      <c r="K30" s="232">
        <f>基础数据!B29</f>
        <v>0.435473969461052</v>
      </c>
      <c r="L30" s="217" t="s">
        <v>15</v>
      </c>
      <c r="M30" s="217"/>
      <c r="N30" s="217"/>
      <c r="O30" s="217"/>
      <c r="P30" s="229"/>
    </row>
    <row r="31" spans="1:16">
      <c r="A31" s="210"/>
      <c r="B31" s="210"/>
      <c r="C31" s="210"/>
      <c r="D31" s="210"/>
      <c r="E31" s="213"/>
      <c r="F31" s="214" t="s">
        <v>37</v>
      </c>
      <c r="G31" s="215">
        <f>G10</f>
        <v>1.0397</v>
      </c>
      <c r="H31" s="217" t="s">
        <v>30</v>
      </c>
      <c r="I31" s="217"/>
      <c r="J31" s="214" t="s">
        <v>155</v>
      </c>
      <c r="K31" s="215">
        <f>G12</f>
        <v>1</v>
      </c>
      <c r="L31" s="217" t="s">
        <v>15</v>
      </c>
      <c r="M31" s="217"/>
      <c r="N31" s="217"/>
      <c r="O31" s="217"/>
      <c r="P31" s="229"/>
    </row>
    <row r="32" spans="1:16">
      <c r="A32" s="210"/>
      <c r="B32" s="210"/>
      <c r="C32" s="210"/>
      <c r="D32" s="210"/>
      <c r="E32" s="213"/>
      <c r="F32" s="214" t="s">
        <v>73</v>
      </c>
      <c r="G32" s="219">
        <f>K5</f>
        <v>0.0539</v>
      </c>
      <c r="H32" s="217"/>
      <c r="I32" s="217"/>
      <c r="J32" s="214"/>
      <c r="K32" s="217"/>
      <c r="L32" s="217"/>
      <c r="M32" s="217"/>
      <c r="N32" s="217"/>
      <c r="O32" s="217"/>
      <c r="P32" s="229"/>
    </row>
    <row r="33" ht="15" spans="5:16">
      <c r="E33" s="220"/>
      <c r="F33" s="214" t="s">
        <v>71</v>
      </c>
      <c r="G33" s="218">
        <f>K8</f>
        <v>0.3</v>
      </c>
      <c r="H33" s="221"/>
      <c r="I33" s="221"/>
      <c r="J33" s="221"/>
      <c r="K33" s="221"/>
      <c r="L33" s="233"/>
      <c r="M33" s="233"/>
      <c r="N33" s="233"/>
      <c r="O33" s="233"/>
      <c r="P33" s="234"/>
    </row>
    <row r="35" spans="7:13">
      <c r="G35" s="10"/>
      <c r="H35" s="10"/>
      <c r="I35" s="10"/>
      <c r="J35" s="10"/>
      <c r="K35" s="10"/>
      <c r="L35" s="10"/>
      <c r="M35" s="10"/>
    </row>
    <row r="36" spans="7:13">
      <c r="G36" s="10"/>
      <c r="H36" s="10"/>
      <c r="I36" s="10"/>
      <c r="J36" s="10"/>
      <c r="K36" s="10"/>
      <c r="L36" s="10"/>
      <c r="M36" s="10"/>
    </row>
    <row r="37" spans="7:13">
      <c r="G37" s="10"/>
      <c r="H37" s="10"/>
      <c r="I37" s="10"/>
      <c r="J37" s="10"/>
      <c r="K37" s="10"/>
      <c r="L37" s="10"/>
      <c r="M37" s="10"/>
    </row>
    <row r="38" spans="7:13">
      <c r="G38" s="10"/>
      <c r="H38" s="10"/>
      <c r="I38" s="10"/>
      <c r="J38" s="10"/>
      <c r="K38" s="10"/>
      <c r="L38" s="10"/>
      <c r="M38" s="10"/>
    </row>
    <row r="39" spans="7:13">
      <c r="G39" s="10"/>
      <c r="H39" s="10"/>
      <c r="I39" s="10"/>
      <c r="J39" s="10"/>
      <c r="K39" s="10"/>
      <c r="L39" s="10"/>
      <c r="M39" s="10"/>
    </row>
    <row r="40" spans="7:13">
      <c r="G40" s="10"/>
      <c r="H40" s="10"/>
      <c r="I40" s="10"/>
      <c r="J40" s="10"/>
      <c r="K40" s="10"/>
      <c r="L40" s="10"/>
      <c r="M40" s="10"/>
    </row>
    <row r="41" spans="7:13">
      <c r="G41" s="10"/>
      <c r="H41" s="10"/>
      <c r="I41" s="10"/>
      <c r="J41" s="10"/>
      <c r="K41" s="10"/>
      <c r="L41" s="10"/>
      <c r="M41" s="10"/>
    </row>
    <row r="42" spans="7:13">
      <c r="G42" s="10"/>
      <c r="H42" s="10"/>
      <c r="I42" s="10"/>
      <c r="J42" s="10"/>
      <c r="K42" s="10"/>
      <c r="L42" s="10"/>
      <c r="M42" s="10"/>
    </row>
    <row r="43" spans="7:13">
      <c r="G43" s="10"/>
      <c r="H43" s="10"/>
      <c r="I43" s="10"/>
      <c r="J43" s="10"/>
      <c r="K43" s="10"/>
      <c r="L43" s="10"/>
      <c r="M43" s="10"/>
    </row>
    <row r="44" spans="7:13">
      <c r="G44" s="10"/>
      <c r="H44" s="10"/>
      <c r="I44" s="10"/>
      <c r="J44" s="10"/>
      <c r="K44" s="10"/>
      <c r="L44" s="10"/>
      <c r="M44" s="10"/>
    </row>
    <row r="45" spans="7:13">
      <c r="G45" s="10"/>
      <c r="H45" s="10"/>
      <c r="I45" s="10"/>
      <c r="J45" s="10"/>
      <c r="K45" s="10"/>
      <c r="L45" s="10"/>
      <c r="M45" s="10"/>
    </row>
    <row r="46" spans="7:13">
      <c r="G46" s="10"/>
      <c r="H46" s="10"/>
      <c r="I46" s="10"/>
      <c r="J46" s="10"/>
      <c r="K46" s="10"/>
      <c r="L46" s="10"/>
      <c r="M46" s="10"/>
    </row>
    <row r="47" spans="7:13">
      <c r="G47" s="10"/>
      <c r="H47" s="10"/>
      <c r="I47" s="10"/>
      <c r="J47" s="10"/>
      <c r="K47" s="10"/>
      <c r="L47" s="10"/>
      <c r="M47" s="10"/>
    </row>
    <row r="48" spans="7:13">
      <c r="G48" s="11"/>
      <c r="H48" s="12"/>
      <c r="I48" s="12"/>
      <c r="J48" s="12"/>
      <c r="K48" s="12"/>
      <c r="L48" s="12"/>
      <c r="M48" s="12"/>
    </row>
    <row r="49" spans="7:13">
      <c r="G49" s="12"/>
      <c r="H49" s="12"/>
      <c r="I49" s="12"/>
      <c r="J49" s="12"/>
      <c r="K49" s="12"/>
      <c r="L49" s="12"/>
      <c r="M49" s="12"/>
    </row>
    <row r="50" spans="7:13">
      <c r="G50" s="12"/>
      <c r="H50" s="12"/>
      <c r="I50" s="12"/>
      <c r="J50" s="12"/>
      <c r="K50" s="12"/>
      <c r="L50" s="12"/>
      <c r="M50" s="12"/>
    </row>
  </sheetData>
  <sheetProtection selectLockedCells="1" autoFilter="0"/>
  <mergeCells count="7">
    <mergeCell ref="A1:D1"/>
    <mergeCell ref="E1:H1"/>
    <mergeCell ref="I1:L1"/>
    <mergeCell ref="M1:P1"/>
    <mergeCell ref="E19:P19"/>
    <mergeCell ref="G35:M47"/>
    <mergeCell ref="G48:M50"/>
  </mergeCells>
  <dataValidations count="1">
    <dataValidation type="list" allowBlank="1" showInputMessage="1" showErrorMessage="1" sqref="K4:L4 C18">
      <formula1>"1,0"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selection activeCell="B27" sqref="B27:H29"/>
    </sheetView>
  </sheetViews>
  <sheetFormatPr defaultColWidth="10" defaultRowHeight="14.25"/>
  <cols>
    <col min="1" max="1" width="33.375" style="1" customWidth="1"/>
    <col min="2" max="16" width="12.625" style="1" customWidth="1"/>
    <col min="17" max="16384" width="10" style="1"/>
  </cols>
  <sheetData>
    <row r="1" ht="20.1" customHeight="1" spans="1:16">
      <c r="A1" s="185" t="s">
        <v>156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</row>
    <row r="2" ht="20.1" customHeight="1" spans="1:28">
      <c r="A2" s="57" t="s">
        <v>97</v>
      </c>
      <c r="B2" s="186" t="s">
        <v>157</v>
      </c>
      <c r="C2" s="186" t="s">
        <v>102</v>
      </c>
      <c r="D2" s="186" t="s">
        <v>158</v>
      </c>
      <c r="E2" s="186" t="s">
        <v>159</v>
      </c>
      <c r="F2" s="186" t="s">
        <v>160</v>
      </c>
      <c r="G2" s="186" t="s">
        <v>161</v>
      </c>
      <c r="H2" s="186" t="s">
        <v>162</v>
      </c>
      <c r="I2" s="186" t="s">
        <v>163</v>
      </c>
      <c r="J2" s="186" t="s">
        <v>164</v>
      </c>
      <c r="K2" s="186" t="s">
        <v>165</v>
      </c>
      <c r="L2" s="186" t="s">
        <v>166</v>
      </c>
      <c r="M2" s="186" t="s">
        <v>167</v>
      </c>
      <c r="N2" s="186" t="s">
        <v>168</v>
      </c>
      <c r="O2" s="186" t="s">
        <v>169</v>
      </c>
      <c r="P2" s="192" t="s">
        <v>170</v>
      </c>
      <c r="Q2" s="186" t="s">
        <v>171</v>
      </c>
      <c r="R2" s="186" t="s">
        <v>172</v>
      </c>
      <c r="S2" s="186" t="s">
        <v>173</v>
      </c>
      <c r="T2" s="186" t="s">
        <v>174</v>
      </c>
      <c r="U2" s="186" t="s">
        <v>175</v>
      </c>
      <c r="V2" s="186" t="s">
        <v>176</v>
      </c>
      <c r="W2" s="186" t="s">
        <v>177</v>
      </c>
      <c r="X2" s="186" t="s">
        <v>178</v>
      </c>
      <c r="Y2" s="186" t="s">
        <v>179</v>
      </c>
      <c r="Z2" s="186" t="s">
        <v>180</v>
      </c>
      <c r="AA2" s="186" t="s">
        <v>181</v>
      </c>
      <c r="AB2" s="186" t="s">
        <v>182</v>
      </c>
    </row>
    <row r="3" ht="20.1" customHeight="1" spans="1:28">
      <c r="A3" s="114" t="s">
        <v>183</v>
      </c>
      <c r="B3" s="187">
        <f>AVERAGE(D3:O3,D9:O9)</f>
        <v>0.88885</v>
      </c>
      <c r="C3" s="187"/>
      <c r="D3" s="188">
        <f>100%-基础输入数据!$G$13</f>
        <v>0.9715</v>
      </c>
      <c r="E3" s="188">
        <f>D3-基础输入数据!$G$13</f>
        <v>0.943</v>
      </c>
      <c r="F3" s="188">
        <f>E3-基础输入数据!$G$13</f>
        <v>0.9145</v>
      </c>
      <c r="G3" s="188">
        <f>F3-基础输入数据!$G$13</f>
        <v>0.886</v>
      </c>
      <c r="H3" s="188">
        <f>G3-基础输入数据!$G$13</f>
        <v>0.8575</v>
      </c>
      <c r="I3" s="188">
        <f>H3-基础输入数据!$G$13</f>
        <v>0.829</v>
      </c>
      <c r="J3" s="188">
        <f>I3-基础输入数据!$G$13</f>
        <v>0.8005</v>
      </c>
      <c r="K3" s="188">
        <f t="shared" ref="K3:X3" si="0">D3</f>
        <v>0.9715</v>
      </c>
      <c r="L3" s="188">
        <f t="shared" si="0"/>
        <v>0.943</v>
      </c>
      <c r="M3" s="188">
        <f t="shared" si="0"/>
        <v>0.9145</v>
      </c>
      <c r="N3" s="188">
        <f t="shared" si="0"/>
        <v>0.886</v>
      </c>
      <c r="O3" s="188">
        <f t="shared" si="0"/>
        <v>0.8575</v>
      </c>
      <c r="P3" s="188">
        <f t="shared" si="0"/>
        <v>0.829</v>
      </c>
      <c r="Q3" s="188">
        <f t="shared" si="0"/>
        <v>0.8005</v>
      </c>
      <c r="R3" s="188">
        <f t="shared" si="0"/>
        <v>0.9715</v>
      </c>
      <c r="S3" s="188">
        <f t="shared" si="0"/>
        <v>0.943</v>
      </c>
      <c r="T3" s="188">
        <f t="shared" si="0"/>
        <v>0.9145</v>
      </c>
      <c r="U3" s="188">
        <f t="shared" si="0"/>
        <v>0.886</v>
      </c>
      <c r="V3" s="188">
        <f t="shared" si="0"/>
        <v>0.8575</v>
      </c>
      <c r="W3" s="188">
        <f t="shared" si="0"/>
        <v>0.829</v>
      </c>
      <c r="X3" s="188">
        <f t="shared" si="0"/>
        <v>0.8005</v>
      </c>
      <c r="Z3" s="188"/>
      <c r="AB3" s="188"/>
    </row>
    <row r="4" ht="20.1" customHeight="1" spans="1:27">
      <c r="A4" s="114" t="s">
        <v>184</v>
      </c>
      <c r="B4" s="189"/>
      <c r="C4" s="190"/>
      <c r="D4" s="190">
        <f>(基础输入数据!$G$2*基础输入数据!$G$5/基础输入数据!$G$4*D3*2)*基础输入数据!$G$11/10000</f>
        <v>66.5266304347826</v>
      </c>
      <c r="E4" s="190">
        <f>(基础输入数据!$G$2*基础输入数据!$G$5/基础输入数据!$G$4*E3*2)*基础输入数据!$G$11/10000</f>
        <v>64.575</v>
      </c>
      <c r="F4" s="190">
        <f>(基础输入数据!$G$2*基础输入数据!$G$5/基础输入数据!$G$4*F3*2)*基础输入数据!$G$11/10000</f>
        <v>62.6233695652174</v>
      </c>
      <c r="G4" s="190">
        <f>(基础输入数据!$G$2*基础输入数据!$G$5/基础输入数据!$G$4*G3*2)*基础输入数据!$G$11/10000</f>
        <v>60.6717391304348</v>
      </c>
      <c r="H4" s="190">
        <f>(基础输入数据!$G$2*基础输入数据!$G$5/基础输入数据!$G$4*H3*2)*基础输入数据!$G$11/10000</f>
        <v>58.7201086956522</v>
      </c>
      <c r="I4" s="190">
        <f>(基础输入数据!$G$2*基础输入数据!$G$5/基础输入数据!$G$4*I3*2)*基础输入数据!$G$11/10000</f>
        <v>56.7684782608696</v>
      </c>
      <c r="J4" s="190">
        <f>(基础输入数据!$G$2*基础输入数据!$G$5/基础输入数据!$G$4*J3*2)*基础输入数据!$G$11/10000</f>
        <v>54.816847826087</v>
      </c>
      <c r="K4" s="190">
        <f>D4</f>
        <v>66.5266304347826</v>
      </c>
      <c r="L4" s="190">
        <f t="shared" ref="L4:Q4" si="1">E4</f>
        <v>64.575</v>
      </c>
      <c r="M4" s="190">
        <f t="shared" si="1"/>
        <v>62.6233695652174</v>
      </c>
      <c r="N4" s="190">
        <f t="shared" si="1"/>
        <v>60.6717391304348</v>
      </c>
      <c r="O4" s="190">
        <f t="shared" si="1"/>
        <v>58.7201086956522</v>
      </c>
      <c r="P4" s="190">
        <f t="shared" si="1"/>
        <v>56.7684782608696</v>
      </c>
      <c r="Q4" s="190">
        <f t="shared" si="1"/>
        <v>54.816847826087</v>
      </c>
      <c r="R4" s="190">
        <f t="shared" ref="R4" si="2">K4</f>
        <v>66.5266304347826</v>
      </c>
      <c r="S4" s="190">
        <f t="shared" ref="S4" si="3">L4</f>
        <v>64.575</v>
      </c>
      <c r="T4" s="190">
        <f t="shared" ref="T4" si="4">M4</f>
        <v>62.6233695652174</v>
      </c>
      <c r="U4" s="190">
        <f t="shared" ref="U4" si="5">N4</f>
        <v>60.6717391304348</v>
      </c>
      <c r="V4" s="190">
        <f t="shared" ref="V4:W4" si="6">O4</f>
        <v>58.7201086956522</v>
      </c>
      <c r="W4" s="190">
        <f t="shared" si="6"/>
        <v>56.7684782608696</v>
      </c>
      <c r="X4" s="190">
        <f t="shared" ref="X4" si="7">Q4</f>
        <v>54.816847826087</v>
      </c>
      <c r="Y4" s="190"/>
      <c r="Z4" s="190"/>
      <c r="AA4" s="190"/>
    </row>
    <row r="5" ht="20.1" customHeight="1" spans="1:27">
      <c r="A5" s="114" t="s">
        <v>185</v>
      </c>
      <c r="B5" s="189"/>
      <c r="C5" s="190"/>
      <c r="D5" s="190">
        <f>基础输入数据!$G$2*基础输入数据!$G$5*基础输入数据!$G$3*D3*基础输入数据!$G$11/10000</f>
        <v>28.15407</v>
      </c>
      <c r="E5" s="190">
        <f>基础输入数据!$G$2*基础输入数据!$G$5*基础输入数据!$G$3*E3*基础输入数据!$G$11/10000</f>
        <v>27.32814</v>
      </c>
      <c r="F5" s="190">
        <f>基础输入数据!$G$2*基础输入数据!$G$5*基础输入数据!$G$3*F3*基础输入数据!$G$11/10000</f>
        <v>26.50221</v>
      </c>
      <c r="G5" s="190">
        <f>基础输入数据!$G$2*基础输入数据!$G$5*基础输入数据!$G$3*G3*基础输入数据!$G$11/10000</f>
        <v>25.67628</v>
      </c>
      <c r="H5" s="190">
        <f>基础输入数据!$G$2*基础输入数据!$G$5*基础输入数据!$G$3*H3*基础输入数据!$G$11/10000</f>
        <v>24.85035</v>
      </c>
      <c r="I5" s="190">
        <f>基础输入数据!$G$2*基础输入数据!$G$5*基础输入数据!$G$3*I3*基础输入数据!$G$11/10000</f>
        <v>24.02442</v>
      </c>
      <c r="J5" s="190">
        <f>基础输入数据!$G$2*基础输入数据!$G$5*基础输入数据!$G$3*J3*基础输入数据!$G$11/10000</f>
        <v>23.19849</v>
      </c>
      <c r="K5" s="190">
        <f t="shared" ref="K5:K6" si="8">D5</f>
        <v>28.15407</v>
      </c>
      <c r="L5" s="190">
        <f t="shared" ref="L5:L6" si="9">E5</f>
        <v>27.32814</v>
      </c>
      <c r="M5" s="190">
        <f t="shared" ref="M5:M6" si="10">F5</f>
        <v>26.50221</v>
      </c>
      <c r="N5" s="190">
        <f t="shared" ref="N5:N6" si="11">G5</f>
        <v>25.67628</v>
      </c>
      <c r="O5" s="190">
        <f t="shared" ref="O5:O6" si="12">H5</f>
        <v>24.85035</v>
      </c>
      <c r="P5" s="190">
        <f t="shared" ref="P5:P6" si="13">I5</f>
        <v>24.02442</v>
      </c>
      <c r="Q5" s="190">
        <f t="shared" ref="Q5:Q6" si="14">J5</f>
        <v>23.19849</v>
      </c>
      <c r="R5" s="190">
        <f t="shared" ref="R5:R6" si="15">K5</f>
        <v>28.15407</v>
      </c>
      <c r="S5" s="190">
        <f t="shared" ref="S5:S6" si="16">L5</f>
        <v>27.32814</v>
      </c>
      <c r="T5" s="190">
        <f t="shared" ref="T5:T6" si="17">M5</f>
        <v>26.50221</v>
      </c>
      <c r="U5" s="190">
        <f t="shared" ref="U5:U6" si="18">N5</f>
        <v>25.67628</v>
      </c>
      <c r="V5" s="190">
        <f t="shared" ref="V5:V6" si="19">O5</f>
        <v>24.85035</v>
      </c>
      <c r="W5" s="190">
        <f t="shared" ref="W5:W6" si="20">P5</f>
        <v>24.02442</v>
      </c>
      <c r="X5" s="190">
        <f t="shared" ref="X5:X6" si="21">Q5</f>
        <v>23.19849</v>
      </c>
      <c r="Y5" s="190"/>
      <c r="Z5" s="190"/>
      <c r="AA5" s="190"/>
    </row>
    <row r="6" ht="20.1" customHeight="1" spans="1:27">
      <c r="A6" s="114" t="s">
        <v>186</v>
      </c>
      <c r="B6" s="189"/>
      <c r="C6" s="190"/>
      <c r="D6" s="190">
        <f>基础输入数据!$G$2*基础输入数据!$G$5*基础输入数据!$G$3*D3*基础输入数据!$G$11/10000</f>
        <v>28.15407</v>
      </c>
      <c r="E6" s="190">
        <f>基础输入数据!$G$2*基础输入数据!$G$5*基础输入数据!$G$3*E3*基础输入数据!$G$11/10000</f>
        <v>27.32814</v>
      </c>
      <c r="F6" s="190">
        <f>基础输入数据!$G$2*基础输入数据!$G$5*基础输入数据!$G$3*F3*基础输入数据!$G$11/10000</f>
        <v>26.50221</v>
      </c>
      <c r="G6" s="190">
        <f>基础输入数据!$G$2*基础输入数据!$G$5*基础输入数据!$G$3*G3*基础输入数据!$G$11/10000</f>
        <v>25.67628</v>
      </c>
      <c r="H6" s="190">
        <f>基础输入数据!$G$2*基础输入数据!$G$5*基础输入数据!$G$3*H3*基础输入数据!$G$11/10000</f>
        <v>24.85035</v>
      </c>
      <c r="I6" s="190">
        <f>基础输入数据!$G$2*基础输入数据!$G$5*基础输入数据!$G$3*I3*基础输入数据!$G$11/10000</f>
        <v>24.02442</v>
      </c>
      <c r="J6" s="190">
        <f>基础输入数据!$G$2*基础输入数据!$G$5*基础输入数据!$G$3*J3*基础输入数据!$G$11/10000</f>
        <v>23.19849</v>
      </c>
      <c r="K6" s="190">
        <f t="shared" si="8"/>
        <v>28.15407</v>
      </c>
      <c r="L6" s="190">
        <f t="shared" si="9"/>
        <v>27.32814</v>
      </c>
      <c r="M6" s="190">
        <f t="shared" si="10"/>
        <v>26.50221</v>
      </c>
      <c r="N6" s="190">
        <f t="shared" si="11"/>
        <v>25.67628</v>
      </c>
      <c r="O6" s="190">
        <f t="shared" si="12"/>
        <v>24.85035</v>
      </c>
      <c r="P6" s="190">
        <f t="shared" si="13"/>
        <v>24.02442</v>
      </c>
      <c r="Q6" s="190">
        <f t="shared" si="14"/>
        <v>23.19849</v>
      </c>
      <c r="R6" s="190">
        <f t="shared" si="15"/>
        <v>28.15407</v>
      </c>
      <c r="S6" s="190">
        <f t="shared" si="16"/>
        <v>27.32814</v>
      </c>
      <c r="T6" s="190">
        <f t="shared" si="17"/>
        <v>26.50221</v>
      </c>
      <c r="U6" s="190">
        <f t="shared" si="18"/>
        <v>25.67628</v>
      </c>
      <c r="V6" s="190">
        <f t="shared" si="19"/>
        <v>24.85035</v>
      </c>
      <c r="W6" s="190">
        <f t="shared" si="20"/>
        <v>24.02442</v>
      </c>
      <c r="X6" s="190">
        <f t="shared" si="21"/>
        <v>23.19849</v>
      </c>
      <c r="Y6" s="190"/>
      <c r="Z6" s="190"/>
      <c r="AA6" s="190"/>
    </row>
    <row r="7" ht="20.1" customHeight="1" spans="1:16">
      <c r="A7" s="64"/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</row>
    <row r="8" ht="20.1" customHeight="1" spans="1:16">
      <c r="A8" s="57" t="s">
        <v>97</v>
      </c>
      <c r="B8" s="186" t="s">
        <v>157</v>
      </c>
      <c r="C8" s="186" t="s">
        <v>102</v>
      </c>
      <c r="D8" s="186" t="s">
        <v>171</v>
      </c>
      <c r="E8" s="186" t="s">
        <v>172</v>
      </c>
      <c r="F8" s="186" t="s">
        <v>173</v>
      </c>
      <c r="G8" s="186" t="s">
        <v>174</v>
      </c>
      <c r="H8" s="186" t="s">
        <v>175</v>
      </c>
      <c r="I8" s="186" t="s">
        <v>176</v>
      </c>
      <c r="J8" s="186" t="s">
        <v>177</v>
      </c>
      <c r="K8" s="186" t="s">
        <v>178</v>
      </c>
      <c r="L8" s="186" t="s">
        <v>179</v>
      </c>
      <c r="M8" s="186" t="s">
        <v>180</v>
      </c>
      <c r="N8" s="186" t="s">
        <v>181</v>
      </c>
      <c r="O8" s="186" t="s">
        <v>182</v>
      </c>
      <c r="P8" s="192"/>
    </row>
    <row r="9" ht="20.1" customHeight="1" spans="1:16">
      <c r="A9" s="114" t="s">
        <v>183</v>
      </c>
      <c r="B9" s="187"/>
      <c r="C9" s="187"/>
      <c r="D9" s="188">
        <f>Q3</f>
        <v>0.8005</v>
      </c>
      <c r="E9" s="188">
        <f t="shared" ref="E9:K9" si="22">R3</f>
        <v>0.9715</v>
      </c>
      <c r="F9" s="188">
        <f t="shared" si="22"/>
        <v>0.943</v>
      </c>
      <c r="G9" s="188">
        <f t="shared" si="22"/>
        <v>0.9145</v>
      </c>
      <c r="H9" s="188">
        <f t="shared" si="22"/>
        <v>0.886</v>
      </c>
      <c r="I9" s="188">
        <f t="shared" si="22"/>
        <v>0.8575</v>
      </c>
      <c r="J9" s="188">
        <f t="shared" si="22"/>
        <v>0.829</v>
      </c>
      <c r="K9" s="188">
        <f t="shared" si="22"/>
        <v>0.8005</v>
      </c>
      <c r="L9" s="188"/>
      <c r="M9" s="188"/>
      <c r="N9" s="188"/>
      <c r="O9" s="188"/>
      <c r="P9" s="187"/>
    </row>
    <row r="10" ht="20.1" customHeight="1" spans="1:16">
      <c r="A10" s="114" t="s">
        <v>187</v>
      </c>
      <c r="B10" s="189"/>
      <c r="C10" s="190"/>
      <c r="D10" s="190">
        <f>Q4</f>
        <v>54.816847826087</v>
      </c>
      <c r="E10" s="190">
        <f t="shared" ref="E10:K12" si="23">R4</f>
        <v>66.5266304347826</v>
      </c>
      <c r="F10" s="190">
        <f t="shared" si="23"/>
        <v>64.575</v>
      </c>
      <c r="G10" s="190">
        <f t="shared" si="23"/>
        <v>62.6233695652174</v>
      </c>
      <c r="H10" s="190">
        <f t="shared" si="23"/>
        <v>60.6717391304348</v>
      </c>
      <c r="I10" s="190">
        <f t="shared" si="23"/>
        <v>58.7201086956522</v>
      </c>
      <c r="J10" s="190">
        <f t="shared" si="23"/>
        <v>56.7684782608696</v>
      </c>
      <c r="K10" s="190">
        <f t="shared" si="23"/>
        <v>54.816847826087</v>
      </c>
      <c r="L10" s="190"/>
      <c r="M10" s="190"/>
      <c r="N10" s="190"/>
      <c r="O10" s="190"/>
      <c r="P10" s="187"/>
    </row>
    <row r="11" ht="20.1" customHeight="1" spans="1:16">
      <c r="A11" s="114" t="s">
        <v>188</v>
      </c>
      <c r="B11" s="189"/>
      <c r="C11" s="190"/>
      <c r="D11" s="190">
        <f t="shared" ref="D11:D12" si="24">Q5</f>
        <v>23.19849</v>
      </c>
      <c r="E11" s="190">
        <f t="shared" si="23"/>
        <v>28.15407</v>
      </c>
      <c r="F11" s="190">
        <f t="shared" si="23"/>
        <v>27.32814</v>
      </c>
      <c r="G11" s="190">
        <f t="shared" si="23"/>
        <v>26.50221</v>
      </c>
      <c r="H11" s="190">
        <f t="shared" si="23"/>
        <v>25.67628</v>
      </c>
      <c r="I11" s="190">
        <f t="shared" si="23"/>
        <v>24.85035</v>
      </c>
      <c r="J11" s="190">
        <f t="shared" si="23"/>
        <v>24.02442</v>
      </c>
      <c r="K11" s="190">
        <f t="shared" si="23"/>
        <v>23.19849</v>
      </c>
      <c r="L11" s="190"/>
      <c r="M11" s="190"/>
      <c r="N11" s="190"/>
      <c r="O11" s="190"/>
      <c r="P11" s="190"/>
    </row>
    <row r="12" ht="20.1" customHeight="1" spans="1:16">
      <c r="A12" s="114" t="s">
        <v>189</v>
      </c>
      <c r="B12" s="189"/>
      <c r="C12" s="190"/>
      <c r="D12" s="190">
        <f t="shared" si="24"/>
        <v>23.19849</v>
      </c>
      <c r="E12" s="190">
        <f t="shared" si="23"/>
        <v>28.15407</v>
      </c>
      <c r="F12" s="190">
        <f t="shared" si="23"/>
        <v>27.32814</v>
      </c>
      <c r="G12" s="190">
        <f t="shared" si="23"/>
        <v>26.50221</v>
      </c>
      <c r="H12" s="190">
        <f t="shared" si="23"/>
        <v>25.67628</v>
      </c>
      <c r="I12" s="190">
        <f t="shared" si="23"/>
        <v>24.85035</v>
      </c>
      <c r="J12" s="190">
        <f t="shared" si="23"/>
        <v>24.02442</v>
      </c>
      <c r="K12" s="190">
        <f t="shared" si="23"/>
        <v>23.19849</v>
      </c>
      <c r="L12" s="190"/>
      <c r="M12" s="190"/>
      <c r="N12" s="190"/>
      <c r="O12" s="190"/>
      <c r="P12" s="190"/>
    </row>
    <row r="14" spans="2:8">
      <c r="B14" s="10"/>
      <c r="C14" s="10"/>
      <c r="D14" s="10"/>
      <c r="E14" s="10"/>
      <c r="F14" s="10"/>
      <c r="G14" s="10"/>
      <c r="H14" s="10"/>
    </row>
    <row r="15" spans="2:8">
      <c r="B15" s="10"/>
      <c r="C15" s="10"/>
      <c r="D15" s="10"/>
      <c r="E15" s="10"/>
      <c r="F15" s="10"/>
      <c r="G15" s="10"/>
      <c r="H15" s="10"/>
    </row>
    <row r="16" spans="2:8">
      <c r="B16" s="10"/>
      <c r="C16" s="10"/>
      <c r="D16" s="10"/>
      <c r="E16" s="10"/>
      <c r="F16" s="10"/>
      <c r="G16" s="10"/>
      <c r="H16" s="10"/>
    </row>
    <row r="17" spans="2:8">
      <c r="B17" s="10"/>
      <c r="C17" s="10"/>
      <c r="D17" s="10"/>
      <c r="E17" s="10"/>
      <c r="F17" s="10"/>
      <c r="G17" s="10"/>
      <c r="H17" s="10"/>
    </row>
    <row r="18" spans="2:8">
      <c r="B18" s="10"/>
      <c r="C18" s="10"/>
      <c r="D18" s="10"/>
      <c r="E18" s="10"/>
      <c r="F18" s="10"/>
      <c r="G18" s="10"/>
      <c r="H18" s="10"/>
    </row>
    <row r="19" spans="2:8">
      <c r="B19" s="10"/>
      <c r="C19" s="10"/>
      <c r="D19" s="10"/>
      <c r="E19" s="10"/>
      <c r="F19" s="10"/>
      <c r="G19" s="10"/>
      <c r="H19" s="10"/>
    </row>
    <row r="20" spans="2:8">
      <c r="B20" s="10"/>
      <c r="C20" s="10"/>
      <c r="D20" s="10"/>
      <c r="E20" s="10"/>
      <c r="F20" s="10"/>
      <c r="G20" s="10"/>
      <c r="H20" s="10"/>
    </row>
    <row r="21" spans="2:8">
      <c r="B21" s="10"/>
      <c r="C21" s="10"/>
      <c r="D21" s="10"/>
      <c r="E21" s="10"/>
      <c r="F21" s="10"/>
      <c r="G21" s="10"/>
      <c r="H21" s="10"/>
    </row>
    <row r="22" spans="2:8">
      <c r="B22" s="10"/>
      <c r="C22" s="10"/>
      <c r="D22" s="10"/>
      <c r="E22" s="10"/>
      <c r="F22" s="10"/>
      <c r="G22" s="10"/>
      <c r="H22" s="10"/>
    </row>
    <row r="23" spans="2:8">
      <c r="B23" s="10"/>
      <c r="C23" s="10"/>
      <c r="D23" s="10"/>
      <c r="E23" s="10"/>
      <c r="F23" s="10"/>
      <c r="G23" s="10"/>
      <c r="H23" s="10"/>
    </row>
    <row r="24" spans="2:8">
      <c r="B24" s="10"/>
      <c r="C24" s="10"/>
      <c r="D24" s="10"/>
      <c r="E24" s="10"/>
      <c r="F24" s="10"/>
      <c r="G24" s="10"/>
      <c r="H24" s="10"/>
    </row>
    <row r="25" spans="2:8">
      <c r="B25" s="10"/>
      <c r="C25" s="10"/>
      <c r="D25" s="10"/>
      <c r="E25" s="10"/>
      <c r="F25" s="10"/>
      <c r="G25" s="10"/>
      <c r="H25" s="10"/>
    </row>
    <row r="26" spans="2:8">
      <c r="B26" s="10"/>
      <c r="C26" s="10"/>
      <c r="D26" s="10"/>
      <c r="E26" s="10"/>
      <c r="F26" s="10"/>
      <c r="G26" s="10"/>
      <c r="H26" s="10"/>
    </row>
    <row r="27" spans="2:8">
      <c r="B27" s="11"/>
      <c r="C27" s="12"/>
      <c r="D27" s="12"/>
      <c r="E27" s="12"/>
      <c r="F27" s="12"/>
      <c r="G27" s="12"/>
      <c r="H27" s="12"/>
    </row>
    <row r="28" spans="2:8">
      <c r="B28" s="12"/>
      <c r="C28" s="12"/>
      <c r="D28" s="12"/>
      <c r="E28" s="12"/>
      <c r="F28" s="12"/>
      <c r="G28" s="12"/>
      <c r="H28" s="12"/>
    </row>
    <row r="29" spans="2:8">
      <c r="B29" s="12"/>
      <c r="C29" s="12"/>
      <c r="D29" s="12"/>
      <c r="E29" s="12"/>
      <c r="F29" s="12"/>
      <c r="G29" s="12"/>
      <c r="H29" s="12"/>
    </row>
  </sheetData>
  <sheetProtection selectLockedCells="1" autoFilter="0"/>
  <mergeCells count="3">
    <mergeCell ref="A1:P1"/>
    <mergeCell ref="B14:H26"/>
    <mergeCell ref="B27:H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1"/>
  <sheetViews>
    <sheetView topLeftCell="B13" workbookViewId="0">
      <selection activeCell="T48" sqref="T48:Z50"/>
    </sheetView>
  </sheetViews>
  <sheetFormatPr defaultColWidth="10" defaultRowHeight="14.25"/>
  <cols>
    <col min="1" max="1" width="5.875" style="1" customWidth="1"/>
    <col min="2" max="2" width="20" style="1" customWidth="1"/>
    <col min="3" max="3" width="10.25" style="1" customWidth="1"/>
    <col min="4" max="16" width="7.625" style="1" customWidth="1"/>
    <col min="17" max="16384" width="10" style="1"/>
  </cols>
  <sheetData>
    <row r="1" ht="19.5" customHeight="1" spans="1:16">
      <c r="A1" s="178" t="s">
        <v>190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ht="15" customHeight="1" spans="1:16">
      <c r="A2" s="179" t="s">
        <v>191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28">
      <c r="A3" s="57" t="s">
        <v>3</v>
      </c>
      <c r="B3" s="58" t="s">
        <v>4</v>
      </c>
      <c r="C3" s="58" t="s">
        <v>102</v>
      </c>
      <c r="D3" s="18" t="s">
        <v>158</v>
      </c>
      <c r="E3" s="18" t="s">
        <v>159</v>
      </c>
      <c r="F3" s="18" t="s">
        <v>160</v>
      </c>
      <c r="G3" s="18" t="s">
        <v>161</v>
      </c>
      <c r="H3" s="18" t="s">
        <v>162</v>
      </c>
      <c r="I3" s="18" t="s">
        <v>163</v>
      </c>
      <c r="J3" s="18" t="s">
        <v>164</v>
      </c>
      <c r="K3" s="18" t="s">
        <v>165</v>
      </c>
      <c r="L3" s="18" t="s">
        <v>166</v>
      </c>
      <c r="M3" s="18" t="s">
        <v>167</v>
      </c>
      <c r="N3" s="18" t="s">
        <v>168</v>
      </c>
      <c r="O3" s="18" t="s">
        <v>169</v>
      </c>
      <c r="P3" s="102" t="s">
        <v>170</v>
      </c>
      <c r="Q3" s="18" t="s">
        <v>171</v>
      </c>
      <c r="R3" s="18" t="s">
        <v>172</v>
      </c>
      <c r="S3" s="18" t="s">
        <v>173</v>
      </c>
      <c r="T3" s="18" t="s">
        <v>174</v>
      </c>
      <c r="U3" s="18" t="s">
        <v>175</v>
      </c>
      <c r="V3" s="18" t="s">
        <v>176</v>
      </c>
      <c r="W3" s="18" t="s">
        <v>177</v>
      </c>
      <c r="X3" s="18" t="s">
        <v>178</v>
      </c>
      <c r="Y3" s="18"/>
      <c r="Z3" s="18"/>
      <c r="AA3" s="18"/>
      <c r="AB3" s="18"/>
    </row>
    <row r="4" spans="1:28">
      <c r="A4" s="180"/>
      <c r="B4" s="181"/>
      <c r="C4" s="181"/>
      <c r="D4" s="21">
        <v>1</v>
      </c>
      <c r="E4" s="21">
        <f>D4+1</f>
        <v>2</v>
      </c>
      <c r="F4" s="21">
        <f t="shared" ref="F4:R4" si="0">E4+1</f>
        <v>3</v>
      </c>
      <c r="G4" s="21">
        <f t="shared" si="0"/>
        <v>4</v>
      </c>
      <c r="H4" s="21">
        <f t="shared" si="0"/>
        <v>5</v>
      </c>
      <c r="I4" s="21">
        <f t="shared" si="0"/>
        <v>6</v>
      </c>
      <c r="J4" s="21">
        <f t="shared" si="0"/>
        <v>7</v>
      </c>
      <c r="K4" s="21">
        <f t="shared" si="0"/>
        <v>8</v>
      </c>
      <c r="L4" s="21">
        <f t="shared" si="0"/>
        <v>9</v>
      </c>
      <c r="M4" s="21">
        <f t="shared" si="0"/>
        <v>10</v>
      </c>
      <c r="N4" s="21">
        <f t="shared" si="0"/>
        <v>11</v>
      </c>
      <c r="O4" s="21">
        <f t="shared" si="0"/>
        <v>12</v>
      </c>
      <c r="P4" s="21">
        <f t="shared" si="0"/>
        <v>13</v>
      </c>
      <c r="Q4" s="21">
        <f t="shared" si="0"/>
        <v>14</v>
      </c>
      <c r="R4" s="21">
        <f t="shared" si="0"/>
        <v>15</v>
      </c>
      <c r="S4" s="21">
        <f t="shared" ref="S4" si="1">R4+1</f>
        <v>16</v>
      </c>
      <c r="T4" s="21">
        <f t="shared" ref="T4" si="2">S4+1</f>
        <v>17</v>
      </c>
      <c r="U4" s="21">
        <f t="shared" ref="U4" si="3">T4+1</f>
        <v>18</v>
      </c>
      <c r="V4" s="21">
        <f t="shared" ref="V4" si="4">U4+1</f>
        <v>19</v>
      </c>
      <c r="W4" s="21">
        <f t="shared" ref="W4" si="5">V4+1</f>
        <v>20</v>
      </c>
      <c r="X4" s="21">
        <f t="shared" ref="X4" si="6">W4+1</f>
        <v>21</v>
      </c>
      <c r="Y4" s="21"/>
      <c r="Z4" s="21"/>
      <c r="AA4" s="21"/>
      <c r="AB4" s="21"/>
    </row>
    <row r="5" spans="1:28">
      <c r="A5" s="114">
        <v>1</v>
      </c>
      <c r="B5" s="60" t="s">
        <v>192</v>
      </c>
      <c r="C5" s="182">
        <f>SUM(D5:AA5)</f>
        <v>998.734836970604</v>
      </c>
      <c r="D5" s="182">
        <f>(D6+D13+D12)</f>
        <v>52.0783295460261</v>
      </c>
      <c r="E5" s="182">
        <f t="shared" ref="E5:X5" si="7">(E6+E13+E12)</f>
        <v>50.6221943634</v>
      </c>
      <c r="F5" s="182">
        <f t="shared" si="7"/>
        <v>49.0922552972739</v>
      </c>
      <c r="G5" s="182">
        <f t="shared" si="7"/>
        <v>47.5623162311478</v>
      </c>
      <c r="H5" s="182">
        <f t="shared" si="7"/>
        <v>46.0323771650217</v>
      </c>
      <c r="I5" s="182">
        <f t="shared" si="7"/>
        <v>44.5024380988957</v>
      </c>
      <c r="J5" s="182">
        <f t="shared" si="7"/>
        <v>42.9724990327696</v>
      </c>
      <c r="K5" s="182">
        <f t="shared" si="7"/>
        <v>52.1521334295261</v>
      </c>
      <c r="L5" s="182">
        <f t="shared" si="7"/>
        <v>50.6221943634</v>
      </c>
      <c r="M5" s="182">
        <f t="shared" si="7"/>
        <v>49.0922552972739</v>
      </c>
      <c r="N5" s="182">
        <f t="shared" si="7"/>
        <v>47.5623162311478</v>
      </c>
      <c r="O5" s="182">
        <f t="shared" si="7"/>
        <v>46.0323771650217</v>
      </c>
      <c r="P5" s="182">
        <f t="shared" si="7"/>
        <v>44.5024380988957</v>
      </c>
      <c r="Q5" s="182">
        <f t="shared" si="7"/>
        <v>42.9724990327696</v>
      </c>
      <c r="R5" s="182">
        <f t="shared" si="7"/>
        <v>52.1521334295261</v>
      </c>
      <c r="S5" s="182">
        <f t="shared" si="7"/>
        <v>50.6221943634</v>
      </c>
      <c r="T5" s="182">
        <f t="shared" si="7"/>
        <v>49.0922552972739</v>
      </c>
      <c r="U5" s="182">
        <f t="shared" si="7"/>
        <v>47.5623162311478</v>
      </c>
      <c r="V5" s="182">
        <f t="shared" si="7"/>
        <v>46.0323771650217</v>
      </c>
      <c r="W5" s="182">
        <f t="shared" si="7"/>
        <v>44.5024380988957</v>
      </c>
      <c r="X5" s="182">
        <f t="shared" si="7"/>
        <v>42.9724990327696</v>
      </c>
      <c r="Y5" s="182"/>
      <c r="Z5" s="182"/>
      <c r="AA5" s="182"/>
      <c r="AB5" s="182"/>
    </row>
    <row r="6" spans="1:28">
      <c r="A6" s="114">
        <v>1.1</v>
      </c>
      <c r="B6" s="60" t="s">
        <v>193</v>
      </c>
      <c r="C6" s="182">
        <f>SUM(D6:AA6)</f>
        <v>1022.272844292</v>
      </c>
      <c r="D6" s="182">
        <f>(D7*D8+D9*D10)</f>
        <v>53.377301313</v>
      </c>
      <c r="E6" s="182">
        <f t="shared" ref="E6:K6" si="8">(E7*E8+E9*E10)</f>
        <v>51.811420626</v>
      </c>
      <c r="F6" s="182">
        <f t="shared" si="8"/>
        <v>50.245539939</v>
      </c>
      <c r="G6" s="182">
        <f t="shared" si="8"/>
        <v>48.679659252</v>
      </c>
      <c r="H6" s="182">
        <f t="shared" si="8"/>
        <v>47.113778565</v>
      </c>
      <c r="I6" s="182">
        <f t="shared" si="8"/>
        <v>45.547897878</v>
      </c>
      <c r="J6" s="182">
        <f t="shared" si="8"/>
        <v>43.982017191</v>
      </c>
      <c r="K6" s="182">
        <f t="shared" si="8"/>
        <v>53.377301313</v>
      </c>
      <c r="L6" s="182">
        <f t="shared" ref="L6:Q6" si="9">(L7*L8+L9*L10)</f>
        <v>51.811420626</v>
      </c>
      <c r="M6" s="182">
        <f t="shared" si="9"/>
        <v>50.245539939</v>
      </c>
      <c r="N6" s="182">
        <f t="shared" si="9"/>
        <v>48.679659252</v>
      </c>
      <c r="O6" s="182">
        <f t="shared" si="9"/>
        <v>47.113778565</v>
      </c>
      <c r="P6" s="182">
        <f t="shared" si="9"/>
        <v>45.547897878</v>
      </c>
      <c r="Q6" s="182">
        <f t="shared" si="9"/>
        <v>43.982017191</v>
      </c>
      <c r="R6" s="182">
        <f t="shared" ref="R6:X6" si="10">(R7*R8+R9*R10)</f>
        <v>53.377301313</v>
      </c>
      <c r="S6" s="182">
        <f t="shared" si="10"/>
        <v>51.811420626</v>
      </c>
      <c r="T6" s="182">
        <f t="shared" si="10"/>
        <v>50.245539939</v>
      </c>
      <c r="U6" s="182">
        <f t="shared" si="10"/>
        <v>48.679659252</v>
      </c>
      <c r="V6" s="182">
        <f t="shared" si="10"/>
        <v>47.113778565</v>
      </c>
      <c r="W6" s="182">
        <f t="shared" si="10"/>
        <v>45.547897878</v>
      </c>
      <c r="X6" s="182">
        <f t="shared" si="10"/>
        <v>43.982017191</v>
      </c>
      <c r="Y6" s="182"/>
      <c r="Z6" s="182"/>
      <c r="AA6" s="182"/>
      <c r="AB6" s="182"/>
    </row>
    <row r="7" spans="1:28">
      <c r="A7" s="114" t="s">
        <v>194</v>
      </c>
      <c r="B7" s="60" t="s">
        <v>195</v>
      </c>
      <c r="C7" s="182"/>
      <c r="D7" s="183">
        <f>基础输入数据!$G$9</f>
        <v>0.8562</v>
      </c>
      <c r="E7" s="183">
        <f>基础输入数据!$G$9</f>
        <v>0.8562</v>
      </c>
      <c r="F7" s="183">
        <f>基础输入数据!$G$9</f>
        <v>0.8562</v>
      </c>
      <c r="G7" s="183">
        <f>基础输入数据!$G$9</f>
        <v>0.8562</v>
      </c>
      <c r="H7" s="183">
        <f>基础输入数据!$G$9</f>
        <v>0.8562</v>
      </c>
      <c r="I7" s="183">
        <f>基础输入数据!$G$9</f>
        <v>0.8562</v>
      </c>
      <c r="J7" s="183">
        <f>基础输入数据!$G$9</f>
        <v>0.8562</v>
      </c>
      <c r="K7" s="183">
        <f>基础输入数据!$G$9</f>
        <v>0.8562</v>
      </c>
      <c r="L7" s="183">
        <f>基础输入数据!$G$9</f>
        <v>0.8562</v>
      </c>
      <c r="M7" s="183">
        <f>基础输入数据!$G$9</f>
        <v>0.8562</v>
      </c>
      <c r="N7" s="183">
        <f>基础输入数据!$G$9</f>
        <v>0.8562</v>
      </c>
      <c r="O7" s="183">
        <f>基础输入数据!$G$9</f>
        <v>0.8562</v>
      </c>
      <c r="P7" s="183">
        <f>基础输入数据!$G$9</f>
        <v>0.8562</v>
      </c>
      <c r="Q7" s="183">
        <f>基础输入数据!$G$9</f>
        <v>0.8562</v>
      </c>
      <c r="R7" s="183">
        <f>基础输入数据!$G$9</f>
        <v>0.8562</v>
      </c>
      <c r="S7" s="183">
        <f>基础输入数据!$G$9</f>
        <v>0.8562</v>
      </c>
      <c r="T7" s="183">
        <f>基础输入数据!$G$9</f>
        <v>0.8562</v>
      </c>
      <c r="U7" s="183">
        <f>基础输入数据!$G$9</f>
        <v>0.8562</v>
      </c>
      <c r="V7" s="183">
        <f>基础输入数据!$G$9</f>
        <v>0.8562</v>
      </c>
      <c r="W7" s="183">
        <f>基础输入数据!$G$9</f>
        <v>0.8562</v>
      </c>
      <c r="X7" s="183">
        <f>基础输入数据!$G$9</f>
        <v>0.8562</v>
      </c>
      <c r="Y7" s="183"/>
      <c r="Z7" s="183"/>
      <c r="AA7" s="183"/>
      <c r="AB7" s="183"/>
    </row>
    <row r="8" spans="1:28">
      <c r="A8" s="114"/>
      <c r="B8" s="60" t="s">
        <v>196</v>
      </c>
      <c r="C8" s="182">
        <f>SUM(D8:AA8)</f>
        <v>539.20188</v>
      </c>
      <c r="D8" s="182">
        <f>'表1 充放电量'!D5</f>
        <v>28.15407</v>
      </c>
      <c r="E8" s="182">
        <f>'表1 充放电量'!E5</f>
        <v>27.32814</v>
      </c>
      <c r="F8" s="182">
        <f>'表1 充放电量'!F5</f>
        <v>26.50221</v>
      </c>
      <c r="G8" s="182">
        <f>'表1 充放电量'!G5</f>
        <v>25.67628</v>
      </c>
      <c r="H8" s="182">
        <f>'表1 充放电量'!H5</f>
        <v>24.85035</v>
      </c>
      <c r="I8" s="182">
        <f>'表1 充放电量'!I5</f>
        <v>24.02442</v>
      </c>
      <c r="J8" s="182">
        <f>'表1 充放电量'!J5</f>
        <v>23.19849</v>
      </c>
      <c r="K8" s="182">
        <f>'表1 充放电量'!K5</f>
        <v>28.15407</v>
      </c>
      <c r="L8" s="182">
        <f>'表1 充放电量'!L5</f>
        <v>27.32814</v>
      </c>
      <c r="M8" s="182">
        <f>'表1 充放电量'!M5</f>
        <v>26.50221</v>
      </c>
      <c r="N8" s="182">
        <f>'表1 充放电量'!N5</f>
        <v>25.67628</v>
      </c>
      <c r="O8" s="182">
        <f>'表1 充放电量'!O5</f>
        <v>24.85035</v>
      </c>
      <c r="P8" s="182">
        <f>'表1 充放电量'!P5</f>
        <v>24.02442</v>
      </c>
      <c r="Q8" s="182">
        <f>'表1 充放电量'!Q5</f>
        <v>23.19849</v>
      </c>
      <c r="R8" s="182">
        <f>'表1 充放电量'!R5</f>
        <v>28.15407</v>
      </c>
      <c r="S8" s="182">
        <f>'表1 充放电量'!S5</f>
        <v>27.32814</v>
      </c>
      <c r="T8" s="182">
        <f>'表1 充放电量'!T5</f>
        <v>26.50221</v>
      </c>
      <c r="U8" s="182">
        <f>'表1 充放电量'!U5</f>
        <v>25.67628</v>
      </c>
      <c r="V8" s="182">
        <f>'表1 充放电量'!V5</f>
        <v>24.85035</v>
      </c>
      <c r="W8" s="182">
        <f>'表1 充放电量'!W5</f>
        <v>24.02442</v>
      </c>
      <c r="X8" s="182">
        <f>'表1 充放电量'!X5</f>
        <v>23.19849</v>
      </c>
      <c r="Y8" s="182"/>
      <c r="Z8" s="182"/>
      <c r="AA8" s="182"/>
      <c r="AB8" s="182"/>
    </row>
    <row r="9" spans="1:28">
      <c r="A9" s="114" t="s">
        <v>197</v>
      </c>
      <c r="B9" s="60" t="s">
        <v>198</v>
      </c>
      <c r="C9" s="182"/>
      <c r="D9" s="182">
        <f>基础输入数据!$G$10</f>
        <v>1.0397</v>
      </c>
      <c r="E9" s="182">
        <f>基础输入数据!$G$10</f>
        <v>1.0397</v>
      </c>
      <c r="F9" s="182">
        <f>基础输入数据!$G$10</f>
        <v>1.0397</v>
      </c>
      <c r="G9" s="182">
        <f>基础输入数据!$G$10</f>
        <v>1.0397</v>
      </c>
      <c r="H9" s="182">
        <f>基础输入数据!$G$10</f>
        <v>1.0397</v>
      </c>
      <c r="I9" s="182">
        <f>基础输入数据!$G$10</f>
        <v>1.0397</v>
      </c>
      <c r="J9" s="182">
        <f>基础输入数据!$G$10</f>
        <v>1.0397</v>
      </c>
      <c r="K9" s="182">
        <f>基础输入数据!$G$10</f>
        <v>1.0397</v>
      </c>
      <c r="L9" s="182">
        <f>基础输入数据!$G$10</f>
        <v>1.0397</v>
      </c>
      <c r="M9" s="182">
        <f>基础输入数据!$G$10</f>
        <v>1.0397</v>
      </c>
      <c r="N9" s="182">
        <f>基础输入数据!$G$10</f>
        <v>1.0397</v>
      </c>
      <c r="O9" s="182">
        <f>基础输入数据!$G$10</f>
        <v>1.0397</v>
      </c>
      <c r="P9" s="182">
        <f>基础输入数据!$G$10</f>
        <v>1.0397</v>
      </c>
      <c r="Q9" s="182">
        <f>基础输入数据!$G$10</f>
        <v>1.0397</v>
      </c>
      <c r="R9" s="182">
        <f>基础输入数据!$G$10</f>
        <v>1.0397</v>
      </c>
      <c r="S9" s="182">
        <f>基础输入数据!$G$10</f>
        <v>1.0397</v>
      </c>
      <c r="T9" s="182">
        <f>基础输入数据!$G$10</f>
        <v>1.0397</v>
      </c>
      <c r="U9" s="182">
        <f>基础输入数据!$G$10</f>
        <v>1.0397</v>
      </c>
      <c r="V9" s="182">
        <f>基础输入数据!$G$10</f>
        <v>1.0397</v>
      </c>
      <c r="W9" s="182">
        <f>基础输入数据!$G$10</f>
        <v>1.0397</v>
      </c>
      <c r="X9" s="182">
        <f>基础输入数据!$G$10</f>
        <v>1.0397</v>
      </c>
      <c r="Y9" s="182"/>
      <c r="Z9" s="182"/>
      <c r="AA9" s="182"/>
      <c r="AB9" s="182"/>
    </row>
    <row r="10" spans="1:27">
      <c r="A10" s="114"/>
      <c r="B10" s="60" t="s">
        <v>199</v>
      </c>
      <c r="C10" s="182">
        <f>SUM(D10:AA10)</f>
        <v>539.20188</v>
      </c>
      <c r="D10" s="182">
        <f>'表1 充放电量'!D6</f>
        <v>28.15407</v>
      </c>
      <c r="E10" s="182">
        <f>'表1 充放电量'!E6</f>
        <v>27.32814</v>
      </c>
      <c r="F10" s="182">
        <f>'表1 充放电量'!F6</f>
        <v>26.50221</v>
      </c>
      <c r="G10" s="182">
        <f>'表1 充放电量'!G6</f>
        <v>25.67628</v>
      </c>
      <c r="H10" s="182">
        <f>'表1 充放电量'!H6</f>
        <v>24.85035</v>
      </c>
      <c r="I10" s="182">
        <f>'表1 充放电量'!I6</f>
        <v>24.02442</v>
      </c>
      <c r="J10" s="182">
        <f>'表1 充放电量'!J6</f>
        <v>23.19849</v>
      </c>
      <c r="K10" s="182">
        <f>'表1 充放电量'!K6</f>
        <v>28.15407</v>
      </c>
      <c r="L10" s="182">
        <f>'表1 充放电量'!L6</f>
        <v>27.32814</v>
      </c>
      <c r="M10" s="182">
        <f>'表1 充放电量'!M6</f>
        <v>26.50221</v>
      </c>
      <c r="N10" s="182">
        <f>'表1 充放电量'!N6</f>
        <v>25.67628</v>
      </c>
      <c r="O10" s="182">
        <f>'表1 充放电量'!O6</f>
        <v>24.85035</v>
      </c>
      <c r="P10" s="182">
        <f>'表1 充放电量'!P6</f>
        <v>24.02442</v>
      </c>
      <c r="Q10" s="182">
        <f>'表1 充放电量'!Q6</f>
        <v>23.19849</v>
      </c>
      <c r="R10" s="182">
        <f>'表1 充放电量'!R6</f>
        <v>28.15407</v>
      </c>
      <c r="S10" s="182">
        <f>'表1 充放电量'!S6</f>
        <v>27.32814</v>
      </c>
      <c r="T10" s="182">
        <f>'表1 充放电量'!T6</f>
        <v>26.50221</v>
      </c>
      <c r="U10" s="182">
        <f>'表1 充放电量'!U6</f>
        <v>25.67628</v>
      </c>
      <c r="V10" s="182">
        <f>'表1 充放电量'!V6</f>
        <v>24.85035</v>
      </c>
      <c r="W10" s="182">
        <f>'表1 充放电量'!W6</f>
        <v>24.02442</v>
      </c>
      <c r="X10" s="182">
        <f>'表1 充放电量'!X6</f>
        <v>23.19849</v>
      </c>
      <c r="Y10" s="182"/>
      <c r="Z10" s="182"/>
      <c r="AA10" s="182"/>
    </row>
    <row r="11" spans="1:27">
      <c r="A11" s="114"/>
      <c r="B11" s="60" t="s">
        <v>200</v>
      </c>
      <c r="C11" s="182">
        <f>SUM(D11:AA11)</f>
        <v>117.606610405274</v>
      </c>
      <c r="D11" s="182">
        <f>D6/(1+基础数据!$E$28)*基础数据!$E$28</f>
        <v>6.14075147848673</v>
      </c>
      <c r="E11" s="182">
        <f>E6/(1+基础数据!$E$28)*基础数据!$E$28</f>
        <v>5.96060591272566</v>
      </c>
      <c r="F11" s="182">
        <f>F6/(1+基础数据!$E$28)*基础数据!$E$28</f>
        <v>5.7804603469646</v>
      </c>
      <c r="G11" s="182">
        <f>G6/(1+基础数据!$E$28)*基础数据!$E$28</f>
        <v>5.60031478120354</v>
      </c>
      <c r="H11" s="182">
        <f>H6/(1+基础数据!$E$28)*基础数据!$E$28</f>
        <v>5.42016921544248</v>
      </c>
      <c r="I11" s="182">
        <f>I6/(1+基础数据!$E$28)*基础数据!$E$28</f>
        <v>5.24002364968142</v>
      </c>
      <c r="J11" s="182">
        <f>J6/(1+基础数据!$E$28)*基础数据!$E$28</f>
        <v>5.05987808392036</v>
      </c>
      <c r="K11" s="182">
        <f>K6/(1+基础数据!$E$28)*基础数据!$E$28</f>
        <v>6.14075147848673</v>
      </c>
      <c r="L11" s="182">
        <f>L6/(1+基础数据!$E$28)*基础数据!$E$28</f>
        <v>5.96060591272566</v>
      </c>
      <c r="M11" s="182">
        <f>M6/(1+基础数据!$E$28)*基础数据!$E$28</f>
        <v>5.7804603469646</v>
      </c>
      <c r="N11" s="182">
        <f>N6/(1+基础数据!$E$28)*基础数据!$E$28</f>
        <v>5.60031478120354</v>
      </c>
      <c r="O11" s="182">
        <f>O6/(1+基础数据!$E$28)*基础数据!$E$28</f>
        <v>5.42016921544248</v>
      </c>
      <c r="P11" s="182">
        <f>P6/(1+基础数据!$E$28)*基础数据!$E$28</f>
        <v>5.24002364968142</v>
      </c>
      <c r="Q11" s="182">
        <f>Q6/(1+基础数据!$E$28)*基础数据!$E$28</f>
        <v>5.05987808392036</v>
      </c>
      <c r="R11" s="182">
        <f>R6/(1+基础数据!$E$28)*基础数据!$E$28</f>
        <v>6.14075147848673</v>
      </c>
      <c r="S11" s="182">
        <f>S6/(1+基础数据!$E$28)*基础数据!$E$28</f>
        <v>5.96060591272566</v>
      </c>
      <c r="T11" s="182">
        <f>T6/(1+基础数据!$E$28)*基础数据!$E$28</f>
        <v>5.7804603469646</v>
      </c>
      <c r="U11" s="182">
        <f>U6/(1+基础数据!$E$28)*基础数据!$E$28</f>
        <v>5.60031478120354</v>
      </c>
      <c r="V11" s="182">
        <f>V6/(1+基础数据!$E$28)*基础数据!$E$28</f>
        <v>5.42016921544248</v>
      </c>
      <c r="W11" s="182">
        <f>W6/(1+基础数据!$E$28)*基础数据!$E$28</f>
        <v>5.24002364968142</v>
      </c>
      <c r="X11" s="182">
        <f>X6/(1+基础数据!$E$28)*基础数据!$E$28</f>
        <v>5.05987808392036</v>
      </c>
      <c r="Y11" s="182"/>
      <c r="Z11" s="182"/>
      <c r="AA11" s="182"/>
    </row>
    <row r="12" spans="1:28">
      <c r="A12" s="114">
        <v>1.2</v>
      </c>
      <c r="B12" s="24" t="s">
        <v>111</v>
      </c>
      <c r="C12" s="162">
        <f>SUM(D12:AA12)</f>
        <v>-57.5571097770261</v>
      </c>
      <c r="D12" s="162">
        <f>-('表2 营业收入、营业税金及附加估算表'!D6-'表4 总成本费用估算表'!D7)*(1-基础输入数据!$G$6)</f>
        <v>-3.00530646825652</v>
      </c>
      <c r="E12" s="162">
        <f>-('表2 营业收入、营业税金及附加估算表'!E6-'表4 总成本费用估算表'!E7)*(1-基础输入数据!$G$6)</f>
        <v>-2.9171425626</v>
      </c>
      <c r="F12" s="162">
        <f>-('表2 营业收入、营业税金及附加估算表'!F6-'表4 总成本费用估算表'!F7)*(1-基础输入数据!$G$6)</f>
        <v>-2.82897865694348</v>
      </c>
      <c r="G12" s="162">
        <f>-('表2 营业收入、营业税金及附加估算表'!G6-'表4 总成本费用估算表'!G7)*(1-基础输入数据!$G$6)</f>
        <v>-2.74081475128696</v>
      </c>
      <c r="H12" s="162">
        <f>-('表2 营业收入、营业税金及附加估算表'!H6-'表4 总成本费用估算表'!H7)*(1-基础输入数据!$G$6)</f>
        <v>-2.65265084563043</v>
      </c>
      <c r="I12" s="162">
        <f>-('表2 营业收入、营业税金及附加估算表'!I6-'表4 总成本费用估算表'!I7)*(1-基础输入数据!$G$6)</f>
        <v>-2.56448693997391</v>
      </c>
      <c r="J12" s="162">
        <f>-('表2 营业收入、营业税金及附加估算表'!J6-'表4 总成本费用估算表'!J7)*(1-基础输入数据!$G$6)</f>
        <v>-2.47632303431739</v>
      </c>
      <c r="K12" s="162">
        <f>-('表2 营业收入、营业税金及附加估算表'!K6-'表4 总成本费用估算表'!K7)*(1-基础输入数据!$G$6)</f>
        <v>-3.00530646825652</v>
      </c>
      <c r="L12" s="162">
        <f>-('表2 营业收入、营业税金及附加估算表'!L6-'表4 总成本费用估算表'!L7)*(1-基础输入数据!$G$6)</f>
        <v>-2.9171425626</v>
      </c>
      <c r="M12" s="162">
        <f>-('表2 营业收入、营业税金及附加估算表'!M6-'表4 总成本费用估算表'!M7)*(1-基础输入数据!$G$6)</f>
        <v>-2.82897865694348</v>
      </c>
      <c r="N12" s="162">
        <f>-('表2 营业收入、营业税金及附加估算表'!N6-'表4 总成本费用估算表'!N7)*(1-基础输入数据!$G$6)</f>
        <v>-2.74081475128696</v>
      </c>
      <c r="O12" s="162">
        <f>-('表2 营业收入、营业税金及附加估算表'!O6-'表4 总成本费用估算表'!O7)*(1-基础输入数据!$G$6)</f>
        <v>-2.65265084563043</v>
      </c>
      <c r="P12" s="162">
        <f>-('表2 营业收入、营业税金及附加估算表'!P6-'表4 总成本费用估算表'!P7)*(1-基础输入数据!$G$6)</f>
        <v>-2.56448693997391</v>
      </c>
      <c r="Q12" s="162">
        <f>-('表2 营业收入、营业税金及附加估算表'!Q6-'表4 总成本费用估算表'!Q7)*(1-基础输入数据!$G$6)</f>
        <v>-2.47632303431739</v>
      </c>
      <c r="R12" s="162">
        <f>-('表2 营业收入、营业税金及附加估算表'!R6-'表4 总成本费用估算表'!R7)*(1-基础输入数据!$G$6)</f>
        <v>-3.00530646825652</v>
      </c>
      <c r="S12" s="162">
        <f>-('表2 营业收入、营业税金及附加估算表'!S6-'表4 总成本费用估算表'!S7)*(1-基础输入数据!$G$6)</f>
        <v>-2.9171425626</v>
      </c>
      <c r="T12" s="162">
        <f>-('表2 营业收入、营业税金及附加估算表'!T6-'表4 总成本费用估算表'!T7)*(1-基础输入数据!$G$6)</f>
        <v>-2.82897865694348</v>
      </c>
      <c r="U12" s="162">
        <f>-('表2 营业收入、营业税金及附加估算表'!U6-'表4 总成本费用估算表'!U7)*(1-基础输入数据!$G$6)</f>
        <v>-2.74081475128696</v>
      </c>
      <c r="V12" s="162">
        <f>-('表2 营业收入、营业税金及附加估算表'!V6-'表4 总成本费用估算表'!V7)*(1-基础输入数据!$G$6)</f>
        <v>-2.65265084563043</v>
      </c>
      <c r="W12" s="162">
        <f>-('表2 营业收入、营业税金及附加估算表'!W6-'表4 总成本费用估算表'!W7)*(1-基础输入数据!$G$6)</f>
        <v>-2.56448693997391</v>
      </c>
      <c r="X12" s="162">
        <f>-('表2 营业收入、营业税金及附加估算表'!X6-'表4 总成本费用估算表'!X7)*(1-基础输入数据!$G$6)</f>
        <v>-2.47632303431739</v>
      </c>
      <c r="Y12" s="162"/>
      <c r="Z12" s="162"/>
      <c r="AA12" s="162"/>
      <c r="AB12" s="162"/>
    </row>
    <row r="13" spans="1:27">
      <c r="A13" s="114">
        <v>1.3</v>
      </c>
      <c r="B13" s="60" t="s">
        <v>201</v>
      </c>
      <c r="C13" s="182">
        <f>SUM(D13:AA13)</f>
        <v>34.0191024556304</v>
      </c>
      <c r="D13" s="182">
        <f>(D14*D15*基础输入数据!$G$15+D16*D17*基础输入数据!$G$17)*基础输入数据!$G$18-D18</f>
        <v>1.70633470128261</v>
      </c>
      <c r="E13" s="182">
        <f>(E14*E15*基础输入数据!$G$15+E16*E17*基础输入数据!$G$17)*基础输入数据!$G$18</f>
        <v>1.7279163</v>
      </c>
      <c r="F13" s="182">
        <f>(F14*F15*基础输入数据!$G$15+F16*F17*基础输入数据!$G$17)*基础输入数据!$G$18</f>
        <v>1.67569401521739</v>
      </c>
      <c r="G13" s="182">
        <f>(G14*G15*基础输入数据!$G$15+G16*G17*基础输入数据!$G$17)*基础输入数据!$G$18</f>
        <v>1.62347173043478</v>
      </c>
      <c r="H13" s="182">
        <f>(H14*H15*基础输入数据!$G$15+H16*H17*基础输入数据!$G$17)*基础输入数据!$G$18</f>
        <v>1.57124944565217</v>
      </c>
      <c r="I13" s="182">
        <f>(I14*I15*基础输入数据!$G$15+I16*I17*基础输入数据!$G$17)*基础输入数据!$G$18</f>
        <v>1.51902716086957</v>
      </c>
      <c r="J13" s="182">
        <f>(J14*J15*基础输入数据!$G$15+J16*J17*基础输入数据!$G$17)*基础输入数据!$G$18</f>
        <v>1.46680487608696</v>
      </c>
      <c r="K13" s="182">
        <f>(K14*K15*基础输入数据!$G$15+K16*K17*基础输入数据!$G$17)*基础输入数据!$G$18</f>
        <v>1.78013858478261</v>
      </c>
      <c r="L13" s="182">
        <f>(L14*L15*基础输入数据!$G$15+L16*L17*基础输入数据!$G$17)*基础输入数据!$G$18</f>
        <v>1.7279163</v>
      </c>
      <c r="M13" s="182">
        <f>(M14*M15*基础输入数据!$G$15+M16*M17*基础输入数据!$G$17)*基础输入数据!$G$18</f>
        <v>1.67569401521739</v>
      </c>
      <c r="N13" s="182">
        <f>(N14*N15*基础输入数据!$G$15+N16*N17*基础输入数据!$G$17)*基础输入数据!$G$18</f>
        <v>1.62347173043478</v>
      </c>
      <c r="O13" s="182">
        <f>(O14*O15*基础输入数据!$G$15+O16*O17*基础输入数据!$G$17)*基础输入数据!$G$18</f>
        <v>1.57124944565217</v>
      </c>
      <c r="P13" s="182">
        <f>(P14*P15*基础输入数据!$G$15+P16*P17*基础输入数据!$G$17)*基础输入数据!$G$18</f>
        <v>1.51902716086957</v>
      </c>
      <c r="Q13" s="182">
        <f>(Q14*Q15*基础输入数据!$G$15+Q16*Q17*基础输入数据!$G$17)*基础输入数据!$G$18</f>
        <v>1.46680487608696</v>
      </c>
      <c r="R13" s="182">
        <f>(R14*R15*基础输入数据!$G$15+R16*R17*基础输入数据!$G$17)*基础输入数据!$G$18</f>
        <v>1.78013858478261</v>
      </c>
      <c r="S13" s="182">
        <f>(S14*S15*基础输入数据!$G$15+S16*S17*基础输入数据!$G$17)*基础输入数据!$G$18</f>
        <v>1.7279163</v>
      </c>
      <c r="T13" s="182">
        <f>(T14*T15*基础输入数据!$G$15+T16*T17*基础输入数据!$G$17)*基础输入数据!$G$18</f>
        <v>1.67569401521739</v>
      </c>
      <c r="U13" s="182">
        <f>(U14*U15*基础输入数据!$G$15+U16*U17*基础输入数据!$G$17)*基础输入数据!$G$18</f>
        <v>1.62347173043478</v>
      </c>
      <c r="V13" s="182">
        <f>(V14*V15*基础输入数据!$G$15+V16*V17*基础输入数据!$G$17)*基础输入数据!$G$18</f>
        <v>1.57124944565217</v>
      </c>
      <c r="W13" s="182">
        <f>(W14*W15*基础输入数据!$G$15+W16*W17*基础输入数据!$G$17)*基础输入数据!$G$18</f>
        <v>1.51902716086957</v>
      </c>
      <c r="X13" s="182">
        <f>(X14*X15*基础输入数据!$G$15+X16*X17*基础输入数据!$G$17)*基础输入数据!$G$18</f>
        <v>1.46680487608696</v>
      </c>
      <c r="Y13" s="182"/>
      <c r="Z13" s="182"/>
      <c r="AA13" s="182"/>
    </row>
    <row r="14" spans="1:27">
      <c r="A14" s="114"/>
      <c r="B14" s="60" t="s">
        <v>202</v>
      </c>
      <c r="C14" s="182"/>
      <c r="D14" s="182">
        <f>基础输入数据!$G$14</f>
        <v>3.5</v>
      </c>
      <c r="E14" s="182">
        <f>基础输入数据!$G$14</f>
        <v>3.5</v>
      </c>
      <c r="F14" s="182">
        <f>基础输入数据!$G$14</f>
        <v>3.5</v>
      </c>
      <c r="G14" s="182">
        <f>基础输入数据!$G$14</f>
        <v>3.5</v>
      </c>
      <c r="H14" s="182">
        <f>基础输入数据!$G$14</f>
        <v>3.5</v>
      </c>
      <c r="I14" s="182">
        <f>基础输入数据!$G$14</f>
        <v>3.5</v>
      </c>
      <c r="J14" s="182">
        <f>基础输入数据!$G$14</f>
        <v>3.5</v>
      </c>
      <c r="K14" s="182">
        <f>基础输入数据!$G$14</f>
        <v>3.5</v>
      </c>
      <c r="L14" s="182">
        <f>基础输入数据!$G$14</f>
        <v>3.5</v>
      </c>
      <c r="M14" s="182">
        <f>基础输入数据!$G$14</f>
        <v>3.5</v>
      </c>
      <c r="N14" s="182">
        <f>基础输入数据!$G$14</f>
        <v>3.5</v>
      </c>
      <c r="O14" s="182">
        <f>基础输入数据!$G$14</f>
        <v>3.5</v>
      </c>
      <c r="P14" s="182">
        <f>基础输入数据!$G$14</f>
        <v>3.5</v>
      </c>
      <c r="Q14" s="182">
        <f>基础输入数据!$G$14</f>
        <v>3.5</v>
      </c>
      <c r="R14" s="182">
        <f>基础输入数据!$G$14</f>
        <v>3.5</v>
      </c>
      <c r="S14" s="182">
        <f>基础输入数据!$G$14</f>
        <v>3.5</v>
      </c>
      <c r="T14" s="182">
        <f>基础输入数据!$G$14</f>
        <v>3.5</v>
      </c>
      <c r="U14" s="182">
        <f>基础输入数据!$G$14</f>
        <v>3.5</v>
      </c>
      <c r="V14" s="182">
        <f>基础输入数据!$G$14</f>
        <v>3.5</v>
      </c>
      <c r="W14" s="182">
        <f>基础输入数据!$G$14</f>
        <v>3.5</v>
      </c>
      <c r="X14" s="182">
        <f>基础输入数据!$G$14</f>
        <v>3.5</v>
      </c>
      <c r="Y14" s="182"/>
      <c r="Z14" s="182"/>
      <c r="AA14" s="182"/>
    </row>
    <row r="15" spans="1:27">
      <c r="A15" s="114"/>
      <c r="B15" s="60" t="s">
        <v>203</v>
      </c>
      <c r="C15" s="182">
        <f>SUM(D15:AA15)</f>
        <v>1.5405768</v>
      </c>
      <c r="D15" s="182">
        <f>('表1 充放电量'!D6)/基础输入数据!$G$11</f>
        <v>0.0804402</v>
      </c>
      <c r="E15" s="182">
        <f>('表1 充放电量'!E6)/基础输入数据!$G$11</f>
        <v>0.0780804</v>
      </c>
      <c r="F15" s="182">
        <f>('表1 充放电量'!F6)/基础输入数据!$G$11</f>
        <v>0.0757206</v>
      </c>
      <c r="G15" s="182">
        <f>('表1 充放电量'!G6)/基础输入数据!$G$11</f>
        <v>0.0733608</v>
      </c>
      <c r="H15" s="182">
        <f>('表1 充放电量'!H6)/基础输入数据!$G$11</f>
        <v>0.071001</v>
      </c>
      <c r="I15" s="182">
        <f>('表1 充放电量'!I6)/基础输入数据!$G$11</f>
        <v>0.0686412</v>
      </c>
      <c r="J15" s="182">
        <f>('表1 充放电量'!J6)/基础输入数据!$G$11</f>
        <v>0.0662814</v>
      </c>
      <c r="K15" s="182">
        <f>('表1 充放电量'!K6)/基础输入数据!$G$11</f>
        <v>0.0804402</v>
      </c>
      <c r="L15" s="182">
        <f>('表1 充放电量'!L6)/基础输入数据!$G$11</f>
        <v>0.0780804</v>
      </c>
      <c r="M15" s="182">
        <f>('表1 充放电量'!M6)/基础输入数据!$G$11</f>
        <v>0.0757206</v>
      </c>
      <c r="N15" s="182">
        <f>('表1 充放电量'!N6)/基础输入数据!$G$11</f>
        <v>0.0733608</v>
      </c>
      <c r="O15" s="182">
        <f>('表1 充放电量'!O6)/基础输入数据!$G$11</f>
        <v>0.071001</v>
      </c>
      <c r="P15" s="182">
        <f>('表1 充放电量'!P6)/基础输入数据!$G$11</f>
        <v>0.0686412</v>
      </c>
      <c r="Q15" s="182">
        <f>('表1 充放电量'!Q6)/基础输入数据!$G$11</f>
        <v>0.0662814</v>
      </c>
      <c r="R15" s="182">
        <f>('表1 充放电量'!R6)/基础输入数据!$G$11</f>
        <v>0.0804402</v>
      </c>
      <c r="S15" s="182">
        <f>('表1 充放电量'!S6)/基础输入数据!$G$11</f>
        <v>0.0780804</v>
      </c>
      <c r="T15" s="182">
        <f>('表1 充放电量'!T6)/基础输入数据!$G$11</f>
        <v>0.0757206</v>
      </c>
      <c r="U15" s="182">
        <f>('表1 充放电量'!U6)/基础输入数据!$G$11</f>
        <v>0.0733608</v>
      </c>
      <c r="V15" s="182">
        <f>('表1 充放电量'!V6)/基础输入数据!$G$11</f>
        <v>0.071001</v>
      </c>
      <c r="W15" s="182">
        <f>('表1 充放电量'!W6)/基础输入数据!$G$11</f>
        <v>0.0686412</v>
      </c>
      <c r="X15" s="182">
        <f>('表1 充放电量'!X6)/基础输入数据!$G$11</f>
        <v>0.0662814</v>
      </c>
      <c r="Y15" s="182"/>
      <c r="Z15" s="182"/>
      <c r="AA15" s="182"/>
    </row>
    <row r="16" spans="1:27">
      <c r="A16" s="114"/>
      <c r="B16" s="60" t="s">
        <v>204</v>
      </c>
      <c r="C16" s="182"/>
      <c r="D16" s="182">
        <f>基础输入数据!$G$16</f>
        <v>1.2</v>
      </c>
      <c r="E16" s="182">
        <f>基础输入数据!$G$16</f>
        <v>1.2</v>
      </c>
      <c r="F16" s="182">
        <f>基础输入数据!$G$16</f>
        <v>1.2</v>
      </c>
      <c r="G16" s="182">
        <f>基础输入数据!$G$16</f>
        <v>1.2</v>
      </c>
      <c r="H16" s="182">
        <f>基础输入数据!$G$16</f>
        <v>1.2</v>
      </c>
      <c r="I16" s="182">
        <f>基础输入数据!$G$16</f>
        <v>1.2</v>
      </c>
      <c r="J16" s="182">
        <f>基础输入数据!$G$16</f>
        <v>1.2</v>
      </c>
      <c r="K16" s="182">
        <f>基础输入数据!$G$16</f>
        <v>1.2</v>
      </c>
      <c r="L16" s="182">
        <f>基础输入数据!$G$16</f>
        <v>1.2</v>
      </c>
      <c r="M16" s="182">
        <f>基础输入数据!$G$16</f>
        <v>1.2</v>
      </c>
      <c r="N16" s="182">
        <f>基础输入数据!$G$16</f>
        <v>1.2</v>
      </c>
      <c r="O16" s="182">
        <f>基础输入数据!$G$16</f>
        <v>1.2</v>
      </c>
      <c r="P16" s="182">
        <f>基础输入数据!$G$16</f>
        <v>1.2</v>
      </c>
      <c r="Q16" s="182">
        <f>基础输入数据!$G$16</f>
        <v>1.2</v>
      </c>
      <c r="R16" s="182">
        <f>基础输入数据!$G$16</f>
        <v>1.2</v>
      </c>
      <c r="S16" s="182">
        <f>基础输入数据!$G$16</f>
        <v>1.2</v>
      </c>
      <c r="T16" s="182">
        <f>基础输入数据!$G$16</f>
        <v>1.2</v>
      </c>
      <c r="U16" s="182">
        <f>基础输入数据!$G$16</f>
        <v>1.2</v>
      </c>
      <c r="V16" s="182">
        <f>基础输入数据!$G$16</f>
        <v>1.2</v>
      </c>
      <c r="W16" s="182">
        <f>基础输入数据!$G$16</f>
        <v>1.2</v>
      </c>
      <c r="X16" s="182">
        <f>基础输入数据!$G$16</f>
        <v>1.2</v>
      </c>
      <c r="Y16" s="182"/>
      <c r="Z16" s="182"/>
      <c r="AA16" s="182"/>
    </row>
    <row r="17" spans="1:27">
      <c r="A17" s="114"/>
      <c r="B17" s="60" t="s">
        <v>205</v>
      </c>
      <c r="C17" s="182">
        <f>SUM(D17:AA17)</f>
        <v>1.82015217391304</v>
      </c>
      <c r="D17" s="182">
        <f>'表1 充放电量'!D4/基础输入数据!$G$11/2</f>
        <v>0.0950380434782609</v>
      </c>
      <c r="E17" s="182">
        <f>'表1 充放电量'!E4/基础输入数据!$G$11/2</f>
        <v>0.09225</v>
      </c>
      <c r="F17" s="182">
        <f>'表1 充放电量'!F4/基础输入数据!$G$11/2</f>
        <v>0.0894619565217391</v>
      </c>
      <c r="G17" s="182">
        <f>'表1 充放电量'!G4/基础输入数据!$G$11/2</f>
        <v>0.0866739130434783</v>
      </c>
      <c r="H17" s="182">
        <f>'表1 充放电量'!H4/基础输入数据!$G$11/2</f>
        <v>0.0838858695652174</v>
      </c>
      <c r="I17" s="182">
        <f>'表1 充放电量'!I4/基础输入数据!$G$11/2</f>
        <v>0.0810978260869565</v>
      </c>
      <c r="J17" s="182">
        <f>'表1 充放电量'!J4/基础输入数据!$G$11/2</f>
        <v>0.0783097826086957</v>
      </c>
      <c r="K17" s="182">
        <f>'表1 充放电量'!K4/基础输入数据!$G$11/2</f>
        <v>0.0950380434782609</v>
      </c>
      <c r="L17" s="182">
        <f>'表1 充放电量'!L4/基础输入数据!$G$11/2</f>
        <v>0.09225</v>
      </c>
      <c r="M17" s="182">
        <f>'表1 充放电量'!M4/基础输入数据!$G$11/2</f>
        <v>0.0894619565217391</v>
      </c>
      <c r="N17" s="182">
        <f>'表1 充放电量'!N4/基础输入数据!$G$11/2</f>
        <v>0.0866739130434783</v>
      </c>
      <c r="O17" s="182">
        <f>'表1 充放电量'!O4/基础输入数据!$G$11/2</f>
        <v>0.0838858695652174</v>
      </c>
      <c r="P17" s="182">
        <f>'表1 充放电量'!P4/基础输入数据!$G$11/2</f>
        <v>0.0810978260869565</v>
      </c>
      <c r="Q17" s="182">
        <f>'表1 充放电量'!Q4/基础输入数据!$G$11/2</f>
        <v>0.0783097826086957</v>
      </c>
      <c r="R17" s="182">
        <f>'表1 充放电量'!R4/基础输入数据!$G$11/2</f>
        <v>0.0950380434782609</v>
      </c>
      <c r="S17" s="182">
        <f>'表1 充放电量'!S4/基础输入数据!$G$11/2</f>
        <v>0.09225</v>
      </c>
      <c r="T17" s="182">
        <f>'表1 充放电量'!T4/基础输入数据!$G$11/2</f>
        <v>0.0894619565217391</v>
      </c>
      <c r="U17" s="182">
        <f>'表1 充放电量'!U4/基础输入数据!$G$11/2</f>
        <v>0.0866739130434783</v>
      </c>
      <c r="V17" s="182">
        <f>'表1 充放电量'!V4/基础输入数据!$G$11/2</f>
        <v>0.0838858695652174</v>
      </c>
      <c r="W17" s="182">
        <f>'表1 充放电量'!W4/基础输入数据!$G$11/2</f>
        <v>0.0810978260869565</v>
      </c>
      <c r="X17" s="182">
        <f>'表1 充放电量'!X4/基础输入数据!$G$11/2</f>
        <v>0.0783097826086957</v>
      </c>
      <c r="Y17" s="182"/>
      <c r="Z17" s="182"/>
      <c r="AA17" s="182"/>
    </row>
    <row r="18" spans="1:27">
      <c r="A18" s="114"/>
      <c r="B18" s="60" t="s">
        <v>206</v>
      </c>
      <c r="C18" s="182">
        <f>SUM(D18:AA18)</f>
        <v>1.413479214</v>
      </c>
      <c r="D18" s="182">
        <f>(基础输入数据!$G$10-基础输入数据!$G$9)*D15*基础输入数据!$G$15</f>
        <v>0.0738038835</v>
      </c>
      <c r="E18" s="182">
        <f>(基础输入数据!$G$10-基础输入数据!$G$9)*E15*基础输入数据!$G$15</f>
        <v>0.071638767</v>
      </c>
      <c r="F18" s="182">
        <f>(基础输入数据!$G$10-基础输入数据!$G$9)*F15*基础输入数据!$G$15</f>
        <v>0.0694736505000001</v>
      </c>
      <c r="G18" s="182">
        <f>(基础输入数据!$G$10-基础输入数据!$G$9)*G15*基础输入数据!$G$15</f>
        <v>0.067308534</v>
      </c>
      <c r="H18" s="182">
        <f>(基础输入数据!$G$10-基础输入数据!$G$9)*H15*基础输入数据!$G$15</f>
        <v>0.0651434175000001</v>
      </c>
      <c r="I18" s="182">
        <f>(基础输入数据!$G$10-基础输入数据!$G$9)*I15*基础输入数据!$G$15</f>
        <v>0.062978301</v>
      </c>
      <c r="J18" s="182">
        <f>(基础输入数据!$G$10-基础输入数据!$G$9)*J15*基础输入数据!$G$15</f>
        <v>0.0608131845000001</v>
      </c>
      <c r="K18" s="182">
        <f>(基础输入数据!$G$10-基础输入数据!$G$9)*K15*基础输入数据!$G$15</f>
        <v>0.0738038835</v>
      </c>
      <c r="L18" s="182">
        <f>(基础输入数据!$G$10-基础输入数据!$G$9)*L15*基础输入数据!$G$15</f>
        <v>0.071638767</v>
      </c>
      <c r="M18" s="182">
        <f>(基础输入数据!$G$10-基础输入数据!$G$9)*M15*基础输入数据!$G$15</f>
        <v>0.0694736505000001</v>
      </c>
      <c r="N18" s="182">
        <f>(基础输入数据!$G$10-基础输入数据!$G$9)*N15*基础输入数据!$G$15</f>
        <v>0.067308534</v>
      </c>
      <c r="O18" s="182">
        <f>(基础输入数据!$G$10-基础输入数据!$G$9)*O15*基础输入数据!$G$15</f>
        <v>0.0651434175000001</v>
      </c>
      <c r="P18" s="182">
        <f>(基础输入数据!$G$10-基础输入数据!$G$9)*P15*基础输入数据!$G$15</f>
        <v>0.062978301</v>
      </c>
      <c r="Q18" s="182">
        <f>(基础输入数据!$G$10-基础输入数据!$G$9)*Q15*基础输入数据!$G$15</f>
        <v>0.0608131845000001</v>
      </c>
      <c r="R18" s="182">
        <f>(基础输入数据!$G$10-基础输入数据!$G$9)*R15*基础输入数据!$G$15</f>
        <v>0.0738038835</v>
      </c>
      <c r="S18" s="182">
        <f>(基础输入数据!$G$10-基础输入数据!$G$9)*S15*基础输入数据!$G$15</f>
        <v>0.071638767</v>
      </c>
      <c r="T18" s="182">
        <f>(基础输入数据!$G$10-基础输入数据!$G$9)*T15*基础输入数据!$G$15</f>
        <v>0.0694736505000001</v>
      </c>
      <c r="U18" s="182">
        <f>(基础输入数据!$G$10-基础输入数据!$G$9)*U15*基础输入数据!$G$15</f>
        <v>0.067308534</v>
      </c>
      <c r="V18" s="182">
        <f>(基础输入数据!$G$10-基础输入数据!$G$9)*V15*基础输入数据!$G$15</f>
        <v>0.0651434175000001</v>
      </c>
      <c r="W18" s="182">
        <f>(基础输入数据!$G$10-基础输入数据!$G$9)*W15*基础输入数据!$G$15</f>
        <v>0.062978301</v>
      </c>
      <c r="X18" s="182">
        <f>(基础输入数据!$G$10-基础输入数据!$G$9)*X15*基础输入数据!$G$15</f>
        <v>0.0608131845000001</v>
      </c>
      <c r="Y18" s="182"/>
      <c r="Z18" s="182"/>
      <c r="AA18" s="182"/>
    </row>
    <row r="19" spans="1:27">
      <c r="A19" s="114">
        <v>2</v>
      </c>
      <c r="B19" s="60" t="s">
        <v>207</v>
      </c>
      <c r="C19" s="182">
        <f>SUM(D19:AA19)</f>
        <v>9.34473183698761</v>
      </c>
      <c r="D19" s="182">
        <f>SUM(D20:D24)</f>
        <v>0</v>
      </c>
      <c r="E19" s="182">
        <f t="shared" ref="E19:K19" si="11">SUM(E20:E24)</f>
        <v>0</v>
      </c>
      <c r="F19" s="182">
        <f t="shared" si="11"/>
        <v>0</v>
      </c>
      <c r="G19" s="182">
        <f t="shared" si="11"/>
        <v>0</v>
      </c>
      <c r="H19" s="182">
        <f t="shared" si="11"/>
        <v>0.474300969942478</v>
      </c>
      <c r="I19" s="182">
        <f t="shared" si="11"/>
        <v>0.524002364968142</v>
      </c>
      <c r="J19" s="182">
        <f t="shared" si="11"/>
        <v>0.505987808392036</v>
      </c>
      <c r="K19" s="182">
        <f t="shared" si="11"/>
        <v>0.614075147848673</v>
      </c>
      <c r="L19" s="182">
        <f t="shared" ref="L19" si="12">SUM(L20:L24)</f>
        <v>0.596060591272566</v>
      </c>
      <c r="M19" s="182">
        <f t="shared" ref="M19" si="13">SUM(M20:M24)</f>
        <v>0.57804603469646</v>
      </c>
      <c r="N19" s="182">
        <f t="shared" ref="N19" si="14">SUM(N20:N24)</f>
        <v>0.560031478120354</v>
      </c>
      <c r="O19" s="182">
        <f t="shared" ref="O19" si="15">SUM(O20:O24)</f>
        <v>0.542016921544248</v>
      </c>
      <c r="P19" s="182">
        <f t="shared" ref="P19" si="16">SUM(P20:P24)</f>
        <v>0.524002364968142</v>
      </c>
      <c r="Q19" s="182">
        <f t="shared" ref="Q19" si="17">SUM(Q20:Q24)</f>
        <v>0.505987808392036</v>
      </c>
      <c r="R19" s="182">
        <f t="shared" ref="R19" si="18">SUM(R20:R24)</f>
        <v>0.614075147848673</v>
      </c>
      <c r="S19" s="182">
        <f t="shared" ref="S19" si="19">SUM(S20:S24)</f>
        <v>0.596060591272566</v>
      </c>
      <c r="T19" s="182">
        <f t="shared" ref="T19" si="20">SUM(T20:T24)</f>
        <v>0.57804603469646</v>
      </c>
      <c r="U19" s="182">
        <f t="shared" ref="U19" si="21">SUM(U20:U24)</f>
        <v>0.560031478120354</v>
      </c>
      <c r="V19" s="182">
        <f t="shared" ref="V19" si="22">SUM(V20:V24)</f>
        <v>0.542016921544248</v>
      </c>
      <c r="W19" s="182">
        <f t="shared" ref="W19" si="23">SUM(W20:W24)</f>
        <v>0.524002364968142</v>
      </c>
      <c r="X19" s="182">
        <f t="shared" ref="X19" si="24">SUM(X20:X24)</f>
        <v>0.505987808392036</v>
      </c>
      <c r="Y19" s="182"/>
      <c r="Z19" s="182"/>
      <c r="AA19" s="182"/>
    </row>
    <row r="20" spans="1:27">
      <c r="A20" s="114">
        <v>2.1</v>
      </c>
      <c r="B20" s="60" t="s">
        <v>208</v>
      </c>
      <c r="C20" s="182">
        <f t="shared" ref="C20:C27" si="25">SUM(D20:AA20)</f>
        <v>0</v>
      </c>
      <c r="D20" s="182">
        <v>0</v>
      </c>
      <c r="E20" s="182">
        <v>0</v>
      </c>
      <c r="F20" s="182">
        <v>0</v>
      </c>
      <c r="G20" s="182">
        <v>0</v>
      </c>
      <c r="H20" s="182">
        <v>0</v>
      </c>
      <c r="I20" s="182">
        <v>0</v>
      </c>
      <c r="J20" s="182">
        <v>0</v>
      </c>
      <c r="K20" s="182">
        <v>0</v>
      </c>
      <c r="L20" s="182">
        <v>0</v>
      </c>
      <c r="M20" s="182">
        <v>0</v>
      </c>
      <c r="N20" s="182">
        <v>0</v>
      </c>
      <c r="O20" s="182">
        <v>0</v>
      </c>
      <c r="P20" s="182">
        <v>0</v>
      </c>
      <c r="Q20" s="182">
        <v>0</v>
      </c>
      <c r="R20" s="182">
        <v>0</v>
      </c>
      <c r="S20" s="182">
        <v>0</v>
      </c>
      <c r="T20" s="182">
        <v>0</v>
      </c>
      <c r="U20" s="182">
        <v>0</v>
      </c>
      <c r="V20" s="182">
        <v>0</v>
      </c>
      <c r="W20" s="182">
        <v>0</v>
      </c>
      <c r="X20" s="182">
        <v>0</v>
      </c>
      <c r="Y20" s="182"/>
      <c r="Z20" s="182"/>
      <c r="AA20" s="182"/>
    </row>
    <row r="21" spans="1:27">
      <c r="A21" s="114">
        <v>2.2</v>
      </c>
      <c r="B21" s="60" t="s">
        <v>209</v>
      </c>
      <c r="C21" s="182">
        <f t="shared" si="25"/>
        <v>0</v>
      </c>
      <c r="D21" s="182">
        <v>0</v>
      </c>
      <c r="E21" s="182">
        <v>0</v>
      </c>
      <c r="F21" s="182">
        <v>0</v>
      </c>
      <c r="G21" s="182">
        <v>0</v>
      </c>
      <c r="H21" s="182">
        <v>0</v>
      </c>
      <c r="I21" s="182">
        <v>0</v>
      </c>
      <c r="J21" s="182">
        <v>0</v>
      </c>
      <c r="K21" s="182">
        <v>0</v>
      </c>
      <c r="L21" s="182">
        <v>0</v>
      </c>
      <c r="M21" s="182">
        <v>0</v>
      </c>
      <c r="N21" s="182">
        <v>0</v>
      </c>
      <c r="O21" s="182">
        <v>0</v>
      </c>
      <c r="P21" s="182">
        <v>0</v>
      </c>
      <c r="Q21" s="182">
        <v>0</v>
      </c>
      <c r="R21" s="182">
        <v>0</v>
      </c>
      <c r="S21" s="182">
        <v>0</v>
      </c>
      <c r="T21" s="182">
        <v>0</v>
      </c>
      <c r="U21" s="182">
        <v>0</v>
      </c>
      <c r="V21" s="182">
        <v>0</v>
      </c>
      <c r="W21" s="182">
        <v>0</v>
      </c>
      <c r="X21" s="182">
        <v>0</v>
      </c>
      <c r="Y21" s="182"/>
      <c r="Z21" s="182"/>
      <c r="AA21" s="182"/>
    </row>
    <row r="22" spans="1:27">
      <c r="A22" s="114">
        <v>2.4</v>
      </c>
      <c r="B22" s="60" t="s">
        <v>210</v>
      </c>
      <c r="C22" s="182">
        <f t="shared" si="25"/>
        <v>4.67236591849381</v>
      </c>
      <c r="D22" s="182">
        <f>(D20+D21+D25)*基础输入数据!$K$10</f>
        <v>0</v>
      </c>
      <c r="E22" s="182">
        <f>(E20+E21+E25)*基础输入数据!$K$10</f>
        <v>0</v>
      </c>
      <c r="F22" s="182">
        <f>(F20+F21+F25)*基础输入数据!$K$10</f>
        <v>0</v>
      </c>
      <c r="G22" s="182">
        <f>(G20+G21+G25)*基础输入数据!$K$10</f>
        <v>0</v>
      </c>
      <c r="H22" s="182">
        <f>(H20+H21+H25)*基础输入数据!$K$10</f>
        <v>0.237150484971239</v>
      </c>
      <c r="I22" s="182">
        <f>(I20+I21+I25)*基础输入数据!$K$10</f>
        <v>0.262001182484071</v>
      </c>
      <c r="J22" s="182">
        <f>(J20+J21+J25)*基础输入数据!$K$10</f>
        <v>0.252993904196018</v>
      </c>
      <c r="K22" s="182">
        <f>(K20+K21+K25)*基础输入数据!$K$10</f>
        <v>0.307037573924336</v>
      </c>
      <c r="L22" s="182">
        <f>(L20+L21+L25)*基础输入数据!$K$10</f>
        <v>0.298030295636283</v>
      </c>
      <c r="M22" s="182">
        <f>(M20+M21+M25)*基础输入数据!$K$10</f>
        <v>0.28902301734823</v>
      </c>
      <c r="N22" s="182">
        <f>(N20+N21+N25)*基础输入数据!$K$10</f>
        <v>0.280015739060177</v>
      </c>
      <c r="O22" s="182">
        <f>(O20+O21+O25)*基础输入数据!$K$10</f>
        <v>0.271008460772124</v>
      </c>
      <c r="P22" s="182">
        <f>(P20+P21+P25)*基础输入数据!$K$10</f>
        <v>0.262001182484071</v>
      </c>
      <c r="Q22" s="182">
        <f>(Q20+Q21+Q25)*基础输入数据!$K$10</f>
        <v>0.252993904196018</v>
      </c>
      <c r="R22" s="182">
        <f>(R20+R21+R25)*基础输入数据!$K$10</f>
        <v>0.307037573924336</v>
      </c>
      <c r="S22" s="182">
        <f>(S20+S21+S25)*基础输入数据!$K$10</f>
        <v>0.298030295636283</v>
      </c>
      <c r="T22" s="182">
        <f>(T20+T21+T25)*基础输入数据!$K$10</f>
        <v>0.28902301734823</v>
      </c>
      <c r="U22" s="182">
        <f>(U20+U21+U25)*基础输入数据!$K$10</f>
        <v>0.280015739060177</v>
      </c>
      <c r="V22" s="182">
        <f>(V20+V21+V25)*基础输入数据!$K$10</f>
        <v>0.271008460772124</v>
      </c>
      <c r="W22" s="182">
        <f>(W20+W21+W25)*基础输入数据!$K$10</f>
        <v>0.262001182484071</v>
      </c>
      <c r="X22" s="182">
        <f>(X20+X21+X25)*基础输入数据!$K$10</f>
        <v>0.252993904196018</v>
      </c>
      <c r="Y22" s="182"/>
      <c r="Z22" s="182"/>
      <c r="AA22" s="182"/>
    </row>
    <row r="23" spans="1:27">
      <c r="A23" s="114">
        <v>2.5</v>
      </c>
      <c r="B23" s="60" t="s">
        <v>83</v>
      </c>
      <c r="C23" s="182">
        <f t="shared" si="25"/>
        <v>2.80341955109628</v>
      </c>
      <c r="D23" s="182">
        <f>(D20+D21+D25)*基础输入数据!$K$11</f>
        <v>0</v>
      </c>
      <c r="E23" s="182">
        <f>(E20+E21+E25)*基础输入数据!$K$11</f>
        <v>0</v>
      </c>
      <c r="F23" s="182">
        <f>(F20+F21+F25)*基础输入数据!$K$11</f>
        <v>0</v>
      </c>
      <c r="G23" s="182">
        <f>(G20+G21+G25)*基础输入数据!$K$11</f>
        <v>0</v>
      </c>
      <c r="H23" s="182">
        <f>(H20+H21+H25)*基础输入数据!$K$11</f>
        <v>0.142290290982743</v>
      </c>
      <c r="I23" s="182">
        <f>(I20+I21+I25)*基础输入数据!$K$11</f>
        <v>0.157200709490443</v>
      </c>
      <c r="J23" s="182">
        <f>(J20+J21+J25)*基础输入数据!$K$11</f>
        <v>0.151796342517611</v>
      </c>
      <c r="K23" s="182">
        <f>(K20+K21+K25)*基础输入数据!$K$11</f>
        <v>0.184222544354602</v>
      </c>
      <c r="L23" s="182">
        <f>(L20+L21+L25)*基础输入数据!$K$11</f>
        <v>0.17881817738177</v>
      </c>
      <c r="M23" s="182">
        <f>(M20+M21+M25)*基础输入数据!$K$11</f>
        <v>0.173413810408938</v>
      </c>
      <c r="N23" s="182">
        <f>(N20+N21+N25)*基础输入数据!$K$11</f>
        <v>0.168009443436106</v>
      </c>
      <c r="O23" s="182">
        <f>(O20+O21+O25)*基础输入数据!$K$11</f>
        <v>0.162605076463274</v>
      </c>
      <c r="P23" s="182">
        <f>(P20+P21+P25)*基础输入数据!$K$11</f>
        <v>0.157200709490443</v>
      </c>
      <c r="Q23" s="182">
        <f>(Q20+Q21+Q25)*基础输入数据!$K$11</f>
        <v>0.151796342517611</v>
      </c>
      <c r="R23" s="182">
        <f>(R20+R21+R25)*基础输入数据!$K$11</f>
        <v>0.184222544354602</v>
      </c>
      <c r="S23" s="182">
        <f>(S20+S21+S25)*基础输入数据!$K$11</f>
        <v>0.17881817738177</v>
      </c>
      <c r="T23" s="182">
        <f>(T20+T21+T25)*基础输入数据!$K$11</f>
        <v>0.173413810408938</v>
      </c>
      <c r="U23" s="182">
        <f>(U20+U21+U25)*基础输入数据!$K$11</f>
        <v>0.168009443436106</v>
      </c>
      <c r="V23" s="182">
        <f>(V20+V21+V25)*基础输入数据!$K$11</f>
        <v>0.162605076463274</v>
      </c>
      <c r="W23" s="182">
        <f>(W20+W21+W25)*基础输入数据!$K$11</f>
        <v>0.157200709490443</v>
      </c>
      <c r="X23" s="182">
        <f>(X20+X21+X25)*基础输入数据!$K$11</f>
        <v>0.151796342517611</v>
      </c>
      <c r="Y23" s="182"/>
      <c r="Z23" s="182"/>
      <c r="AA23" s="182"/>
    </row>
    <row r="24" spans="1:27">
      <c r="A24" s="114">
        <v>2.6</v>
      </c>
      <c r="B24" s="60" t="s">
        <v>211</v>
      </c>
      <c r="C24" s="182">
        <f t="shared" si="25"/>
        <v>1.86894636739752</v>
      </c>
      <c r="D24" s="182">
        <f>(D20+D21+D25)*基础输入数据!$K$12</f>
        <v>0</v>
      </c>
      <c r="E24" s="182">
        <f>(E20+E21+E25)*基础输入数据!$K$12</f>
        <v>0</v>
      </c>
      <c r="F24" s="182">
        <f>(F20+F21+F25)*基础输入数据!$K$12</f>
        <v>0</v>
      </c>
      <c r="G24" s="182">
        <f>(G20+G21+G25)*基础输入数据!$K$12</f>
        <v>0</v>
      </c>
      <c r="H24" s="182">
        <f>(H20+H21+H25)*基础输入数据!$K$12</f>
        <v>0.0948601939884956</v>
      </c>
      <c r="I24" s="182">
        <f>(I20+I21+I25)*基础输入数据!$K$12</f>
        <v>0.104800472993628</v>
      </c>
      <c r="J24" s="182">
        <f>(J20+J21+J25)*基础输入数据!$K$12</f>
        <v>0.101197561678407</v>
      </c>
      <c r="K24" s="182">
        <f>(K20+K21+K25)*基础输入数据!$K$12</f>
        <v>0.122815029569735</v>
      </c>
      <c r="L24" s="182">
        <f>(L20+L21+L25)*基础输入数据!$K$12</f>
        <v>0.119212118254513</v>
      </c>
      <c r="M24" s="182">
        <f>(M20+M21+M25)*基础输入数据!$K$12</f>
        <v>0.115609206939292</v>
      </c>
      <c r="N24" s="182">
        <f>(N20+N21+N25)*基础输入数据!$K$12</f>
        <v>0.112006295624071</v>
      </c>
      <c r="O24" s="182">
        <f>(O20+O21+O25)*基础输入数据!$K$12</f>
        <v>0.10840338430885</v>
      </c>
      <c r="P24" s="182">
        <f>(P20+P21+P25)*基础输入数据!$K$12</f>
        <v>0.104800472993628</v>
      </c>
      <c r="Q24" s="182">
        <f>(Q20+Q21+Q25)*基础输入数据!$K$12</f>
        <v>0.101197561678407</v>
      </c>
      <c r="R24" s="182">
        <f>(R20+R21+R25)*基础输入数据!$K$12</f>
        <v>0.122815029569735</v>
      </c>
      <c r="S24" s="182">
        <f>(S20+S21+S25)*基础输入数据!$K$12</f>
        <v>0.119212118254513</v>
      </c>
      <c r="T24" s="182">
        <f>(T20+T21+T25)*基础输入数据!$K$12</f>
        <v>0.115609206939292</v>
      </c>
      <c r="U24" s="182">
        <f>(U20+U21+U25)*基础输入数据!$K$12</f>
        <v>0.112006295624071</v>
      </c>
      <c r="V24" s="182">
        <f>(V20+V21+V25)*基础输入数据!$K$12</f>
        <v>0.10840338430885</v>
      </c>
      <c r="W24" s="182">
        <f>(W20+W21+W25)*基础输入数据!$K$12</f>
        <v>0.104800472993628</v>
      </c>
      <c r="X24" s="182">
        <f>(X20+X21+X25)*基础输入数据!$K$12</f>
        <v>0.101197561678407</v>
      </c>
      <c r="Y24" s="182"/>
      <c r="Z24" s="182"/>
      <c r="AA24" s="182"/>
    </row>
    <row r="25" spans="1:27">
      <c r="A25" s="114">
        <v>3</v>
      </c>
      <c r="B25" s="60" t="s">
        <v>212</v>
      </c>
      <c r="C25" s="182">
        <f t="shared" si="25"/>
        <v>93.4473183698761</v>
      </c>
      <c r="D25" s="182">
        <f t="shared" ref="D25:X25" si="26">IF(D26-D27&lt;0,0,D26-D27)</f>
        <v>0</v>
      </c>
      <c r="E25" s="182">
        <f t="shared" si="26"/>
        <v>0</v>
      </c>
      <c r="F25" s="182">
        <f t="shared" si="26"/>
        <v>0</v>
      </c>
      <c r="G25" s="182">
        <f t="shared" si="26"/>
        <v>0</v>
      </c>
      <c r="H25" s="182">
        <f t="shared" si="26"/>
        <v>4.74300969942478</v>
      </c>
      <c r="I25" s="182">
        <f t="shared" si="26"/>
        <v>5.24002364968142</v>
      </c>
      <c r="J25" s="182">
        <f t="shared" si="26"/>
        <v>5.05987808392036</v>
      </c>
      <c r="K25" s="182">
        <f t="shared" si="26"/>
        <v>6.14075147848673</v>
      </c>
      <c r="L25" s="182">
        <f t="shared" si="26"/>
        <v>5.96060591272566</v>
      </c>
      <c r="M25" s="182">
        <f t="shared" si="26"/>
        <v>5.7804603469646</v>
      </c>
      <c r="N25" s="182">
        <f t="shared" si="26"/>
        <v>5.60031478120354</v>
      </c>
      <c r="O25" s="182">
        <f t="shared" si="26"/>
        <v>5.42016921544248</v>
      </c>
      <c r="P25" s="182">
        <f t="shared" si="26"/>
        <v>5.24002364968142</v>
      </c>
      <c r="Q25" s="182">
        <f t="shared" si="26"/>
        <v>5.05987808392036</v>
      </c>
      <c r="R25" s="182">
        <f t="shared" si="26"/>
        <v>6.14075147848673</v>
      </c>
      <c r="S25" s="182">
        <f t="shared" si="26"/>
        <v>5.96060591272566</v>
      </c>
      <c r="T25" s="182">
        <f t="shared" si="26"/>
        <v>5.7804603469646</v>
      </c>
      <c r="U25" s="182">
        <f t="shared" si="26"/>
        <v>5.60031478120354</v>
      </c>
      <c r="V25" s="182">
        <f t="shared" si="26"/>
        <v>5.42016921544248</v>
      </c>
      <c r="W25" s="182">
        <f t="shared" si="26"/>
        <v>5.24002364968142</v>
      </c>
      <c r="X25" s="182">
        <f t="shared" si="26"/>
        <v>5.05987808392036</v>
      </c>
      <c r="Y25" s="182"/>
      <c r="Z25" s="182"/>
      <c r="AA25" s="182"/>
    </row>
    <row r="26" spans="1:27">
      <c r="A26" s="114">
        <v>3.1</v>
      </c>
      <c r="B26" s="60" t="s">
        <v>200</v>
      </c>
      <c r="C26" s="182">
        <f t="shared" si="25"/>
        <v>117.606610405274</v>
      </c>
      <c r="D26" s="182">
        <f t="shared" ref="D26:X26" si="27">D11</f>
        <v>6.14075147848673</v>
      </c>
      <c r="E26" s="182">
        <f t="shared" si="27"/>
        <v>5.96060591272566</v>
      </c>
      <c r="F26" s="182">
        <f t="shared" si="27"/>
        <v>5.7804603469646</v>
      </c>
      <c r="G26" s="182">
        <f t="shared" si="27"/>
        <v>5.60031478120354</v>
      </c>
      <c r="H26" s="182">
        <f t="shared" si="27"/>
        <v>5.42016921544248</v>
      </c>
      <c r="I26" s="182">
        <f t="shared" si="27"/>
        <v>5.24002364968142</v>
      </c>
      <c r="J26" s="182">
        <f t="shared" si="27"/>
        <v>5.05987808392036</v>
      </c>
      <c r="K26" s="182">
        <f t="shared" si="27"/>
        <v>6.14075147848673</v>
      </c>
      <c r="L26" s="182">
        <f t="shared" si="27"/>
        <v>5.96060591272566</v>
      </c>
      <c r="M26" s="182">
        <f t="shared" si="27"/>
        <v>5.7804603469646</v>
      </c>
      <c r="N26" s="182">
        <f t="shared" si="27"/>
        <v>5.60031478120354</v>
      </c>
      <c r="O26" s="182">
        <f t="shared" si="27"/>
        <v>5.42016921544248</v>
      </c>
      <c r="P26" s="182">
        <f t="shared" si="27"/>
        <v>5.24002364968142</v>
      </c>
      <c r="Q26" s="182">
        <f t="shared" si="27"/>
        <v>5.05987808392036</v>
      </c>
      <c r="R26" s="182">
        <f t="shared" si="27"/>
        <v>6.14075147848673</v>
      </c>
      <c r="S26" s="182">
        <f t="shared" si="27"/>
        <v>5.96060591272566</v>
      </c>
      <c r="T26" s="182">
        <f t="shared" si="27"/>
        <v>5.7804603469646</v>
      </c>
      <c r="U26" s="182">
        <f t="shared" si="27"/>
        <v>5.60031478120354</v>
      </c>
      <c r="V26" s="182">
        <f t="shared" si="27"/>
        <v>5.42016921544248</v>
      </c>
      <c r="W26" s="182">
        <f t="shared" si="27"/>
        <v>5.24002364968142</v>
      </c>
      <c r="X26" s="182">
        <f t="shared" si="27"/>
        <v>5.05987808392036</v>
      </c>
      <c r="Y26" s="182"/>
      <c r="Z26" s="182"/>
      <c r="AA26" s="182"/>
    </row>
    <row r="27" ht="15" spans="1:27">
      <c r="A27" s="118">
        <v>3.2</v>
      </c>
      <c r="B27" s="119" t="s">
        <v>213</v>
      </c>
      <c r="C27" s="182">
        <f t="shared" si="25"/>
        <v>61.1904010497345</v>
      </c>
      <c r="D27" s="184">
        <f>基础输入数据!K18</f>
        <v>24.1592920353982</v>
      </c>
      <c r="E27" s="184">
        <f t="shared" ref="E27:X27" si="28">IF(D27-D26&gt;0,D27-D26,0)</f>
        <v>18.0185405569115</v>
      </c>
      <c r="F27" s="184">
        <f t="shared" si="28"/>
        <v>12.0579346441858</v>
      </c>
      <c r="G27" s="184">
        <f t="shared" si="28"/>
        <v>6.27747429722124</v>
      </c>
      <c r="H27" s="184">
        <f t="shared" si="28"/>
        <v>0.677159516017697</v>
      </c>
      <c r="I27" s="184">
        <f t="shared" si="28"/>
        <v>0</v>
      </c>
      <c r="J27" s="184">
        <f t="shared" si="28"/>
        <v>0</v>
      </c>
      <c r="K27" s="184">
        <f t="shared" si="28"/>
        <v>0</v>
      </c>
      <c r="L27" s="184">
        <f t="shared" si="28"/>
        <v>0</v>
      </c>
      <c r="M27" s="184">
        <f t="shared" si="28"/>
        <v>0</v>
      </c>
      <c r="N27" s="184">
        <f t="shared" si="28"/>
        <v>0</v>
      </c>
      <c r="O27" s="184">
        <f t="shared" si="28"/>
        <v>0</v>
      </c>
      <c r="P27" s="184">
        <f t="shared" si="28"/>
        <v>0</v>
      </c>
      <c r="Q27" s="184">
        <f t="shared" si="28"/>
        <v>0</v>
      </c>
      <c r="R27" s="184">
        <f t="shared" si="28"/>
        <v>0</v>
      </c>
      <c r="S27" s="184">
        <f t="shared" si="28"/>
        <v>0</v>
      </c>
      <c r="T27" s="184">
        <f t="shared" si="28"/>
        <v>0</v>
      </c>
      <c r="U27" s="184">
        <f t="shared" si="28"/>
        <v>0</v>
      </c>
      <c r="V27" s="184">
        <f t="shared" si="28"/>
        <v>0</v>
      </c>
      <c r="W27" s="184">
        <f t="shared" si="28"/>
        <v>0</v>
      </c>
      <c r="X27" s="184">
        <f t="shared" si="28"/>
        <v>0</v>
      </c>
      <c r="Y27" s="184"/>
      <c r="Z27" s="184"/>
      <c r="AA27" s="184"/>
    </row>
    <row r="28" ht="15" spans="1:16">
      <c r="A28" s="6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</row>
    <row r="29" spans="1:16">
      <c r="A29" s="57" t="s">
        <v>3</v>
      </c>
      <c r="B29" s="58" t="s">
        <v>4</v>
      </c>
      <c r="C29" s="58" t="s">
        <v>102</v>
      </c>
      <c r="D29" s="18" t="s">
        <v>171</v>
      </c>
      <c r="E29" s="18" t="s">
        <v>172</v>
      </c>
      <c r="F29" s="18" t="s">
        <v>173</v>
      </c>
      <c r="G29" s="18" t="s">
        <v>174</v>
      </c>
      <c r="H29" s="18" t="s">
        <v>175</v>
      </c>
      <c r="I29" s="18" t="s">
        <v>176</v>
      </c>
      <c r="J29" s="18" t="s">
        <v>177</v>
      </c>
      <c r="K29" s="18" t="s">
        <v>178</v>
      </c>
      <c r="L29" s="18"/>
      <c r="M29" s="18"/>
      <c r="N29" s="18"/>
      <c r="O29" s="18"/>
      <c r="P29" s="157"/>
    </row>
    <row r="30" spans="1:16">
      <c r="A30" s="180"/>
      <c r="B30" s="181"/>
      <c r="C30" s="181"/>
      <c r="D30" s="21">
        <f>P4+1</f>
        <v>14</v>
      </c>
      <c r="E30" s="21">
        <f>D30+1</f>
        <v>15</v>
      </c>
      <c r="F30" s="21">
        <f t="shared" ref="F30:K30" si="29">E30+1</f>
        <v>16</v>
      </c>
      <c r="G30" s="21">
        <f t="shared" si="29"/>
        <v>17</v>
      </c>
      <c r="H30" s="21">
        <f t="shared" si="29"/>
        <v>18</v>
      </c>
      <c r="I30" s="21">
        <f t="shared" si="29"/>
        <v>19</v>
      </c>
      <c r="J30" s="21">
        <f t="shared" si="29"/>
        <v>20</v>
      </c>
      <c r="K30" s="21">
        <f t="shared" si="29"/>
        <v>21</v>
      </c>
      <c r="L30" s="21"/>
      <c r="M30" s="21"/>
      <c r="N30" s="21"/>
      <c r="O30" s="21"/>
      <c r="P30" s="158"/>
    </row>
    <row r="31" spans="1:16">
      <c r="A31" s="114">
        <v>1</v>
      </c>
      <c r="B31" s="60" t="s">
        <v>192</v>
      </c>
      <c r="C31" s="61">
        <f t="shared" ref="C31:C37" si="30">C5</f>
        <v>998.734836970604</v>
      </c>
      <c r="D31" s="182">
        <f t="shared" ref="D31:K37" si="31">Q5</f>
        <v>42.9724990327696</v>
      </c>
      <c r="E31" s="182">
        <f t="shared" si="31"/>
        <v>52.1521334295261</v>
      </c>
      <c r="F31" s="182">
        <f t="shared" si="31"/>
        <v>50.6221943634</v>
      </c>
      <c r="G31" s="182">
        <f t="shared" si="31"/>
        <v>49.0922552972739</v>
      </c>
      <c r="H31" s="182">
        <f t="shared" si="31"/>
        <v>47.5623162311478</v>
      </c>
      <c r="I31" s="182">
        <f t="shared" si="31"/>
        <v>46.0323771650217</v>
      </c>
      <c r="J31" s="182">
        <f t="shared" si="31"/>
        <v>44.5024380988957</v>
      </c>
      <c r="K31" s="182">
        <f t="shared" si="31"/>
        <v>42.9724990327696</v>
      </c>
      <c r="L31" s="182"/>
      <c r="M31" s="182"/>
      <c r="N31" s="182"/>
      <c r="O31" s="182"/>
      <c r="P31" s="107"/>
    </row>
    <row r="32" spans="1:16">
      <c r="A32" s="114">
        <v>1.1</v>
      </c>
      <c r="B32" s="60" t="s">
        <v>193</v>
      </c>
      <c r="C32" s="61">
        <f t="shared" si="30"/>
        <v>1022.272844292</v>
      </c>
      <c r="D32" s="182">
        <f t="shared" si="31"/>
        <v>43.982017191</v>
      </c>
      <c r="E32" s="182">
        <f t="shared" si="31"/>
        <v>53.377301313</v>
      </c>
      <c r="F32" s="182">
        <f t="shared" si="31"/>
        <v>51.811420626</v>
      </c>
      <c r="G32" s="182">
        <f t="shared" si="31"/>
        <v>50.245539939</v>
      </c>
      <c r="H32" s="182">
        <f t="shared" si="31"/>
        <v>48.679659252</v>
      </c>
      <c r="I32" s="182">
        <f t="shared" si="31"/>
        <v>47.113778565</v>
      </c>
      <c r="J32" s="182">
        <f t="shared" si="31"/>
        <v>45.547897878</v>
      </c>
      <c r="K32" s="182">
        <f t="shared" si="31"/>
        <v>43.982017191</v>
      </c>
      <c r="L32" s="182"/>
      <c r="M32" s="182"/>
      <c r="N32" s="182"/>
      <c r="O32" s="182"/>
      <c r="P32" s="107"/>
    </row>
    <row r="33" spans="1:16">
      <c r="A33" s="114" t="s">
        <v>194</v>
      </c>
      <c r="B33" s="60" t="s">
        <v>195</v>
      </c>
      <c r="C33" s="61">
        <f t="shared" si="30"/>
        <v>0</v>
      </c>
      <c r="D33" s="182">
        <f t="shared" si="31"/>
        <v>0.8562</v>
      </c>
      <c r="E33" s="182">
        <f t="shared" si="31"/>
        <v>0.8562</v>
      </c>
      <c r="F33" s="182">
        <f t="shared" si="31"/>
        <v>0.8562</v>
      </c>
      <c r="G33" s="182">
        <f t="shared" si="31"/>
        <v>0.8562</v>
      </c>
      <c r="H33" s="182">
        <f t="shared" si="31"/>
        <v>0.8562</v>
      </c>
      <c r="I33" s="182">
        <f t="shared" si="31"/>
        <v>0.8562</v>
      </c>
      <c r="J33" s="182">
        <f t="shared" si="31"/>
        <v>0.8562</v>
      </c>
      <c r="K33" s="182">
        <f t="shared" si="31"/>
        <v>0.8562</v>
      </c>
      <c r="L33" s="182"/>
      <c r="M33" s="182"/>
      <c r="N33" s="182"/>
      <c r="O33" s="182"/>
      <c r="P33" s="107"/>
    </row>
    <row r="34" spans="1:16">
      <c r="A34" s="114"/>
      <c r="B34" s="60" t="s">
        <v>196</v>
      </c>
      <c r="C34" s="61">
        <f t="shared" si="30"/>
        <v>539.20188</v>
      </c>
      <c r="D34" s="182">
        <f t="shared" si="31"/>
        <v>23.19849</v>
      </c>
      <c r="E34" s="182">
        <f t="shared" si="31"/>
        <v>28.15407</v>
      </c>
      <c r="F34" s="182">
        <f t="shared" si="31"/>
        <v>27.32814</v>
      </c>
      <c r="G34" s="182">
        <f t="shared" si="31"/>
        <v>26.50221</v>
      </c>
      <c r="H34" s="182">
        <f t="shared" si="31"/>
        <v>25.67628</v>
      </c>
      <c r="I34" s="182">
        <f t="shared" si="31"/>
        <v>24.85035</v>
      </c>
      <c r="J34" s="182">
        <f t="shared" si="31"/>
        <v>24.02442</v>
      </c>
      <c r="K34" s="182">
        <f t="shared" si="31"/>
        <v>23.19849</v>
      </c>
      <c r="L34" s="182"/>
      <c r="M34" s="182"/>
      <c r="N34" s="182"/>
      <c r="O34" s="182"/>
      <c r="P34" s="107"/>
    </row>
    <row r="35" spans="1:26">
      <c r="A35" s="114" t="s">
        <v>197</v>
      </c>
      <c r="B35" s="60" t="s">
        <v>198</v>
      </c>
      <c r="C35" s="61">
        <f t="shared" si="30"/>
        <v>0</v>
      </c>
      <c r="D35" s="182">
        <f t="shared" si="31"/>
        <v>1.0397</v>
      </c>
      <c r="E35" s="182">
        <f t="shared" si="31"/>
        <v>1.0397</v>
      </c>
      <c r="F35" s="182">
        <f t="shared" si="31"/>
        <v>1.0397</v>
      </c>
      <c r="G35" s="182">
        <f t="shared" si="31"/>
        <v>1.0397</v>
      </c>
      <c r="H35" s="182">
        <f t="shared" si="31"/>
        <v>1.0397</v>
      </c>
      <c r="I35" s="182">
        <f t="shared" si="31"/>
        <v>1.0397</v>
      </c>
      <c r="J35" s="182">
        <f t="shared" si="31"/>
        <v>1.0397</v>
      </c>
      <c r="K35" s="182">
        <f t="shared" si="31"/>
        <v>1.0397</v>
      </c>
      <c r="L35" s="182"/>
      <c r="M35" s="182"/>
      <c r="N35" s="182"/>
      <c r="O35" s="182"/>
      <c r="P35" s="107"/>
      <c r="T35" s="10"/>
      <c r="U35" s="10"/>
      <c r="V35" s="10"/>
      <c r="W35" s="10"/>
      <c r="X35" s="10"/>
      <c r="Y35" s="10"/>
      <c r="Z35" s="10"/>
    </row>
    <row r="36" spans="1:26">
      <c r="A36" s="114"/>
      <c r="B36" s="60" t="s">
        <v>199</v>
      </c>
      <c r="C36" s="61">
        <f t="shared" si="30"/>
        <v>539.20188</v>
      </c>
      <c r="D36" s="182">
        <f t="shared" si="31"/>
        <v>23.19849</v>
      </c>
      <c r="E36" s="182">
        <f t="shared" si="31"/>
        <v>28.15407</v>
      </c>
      <c r="F36" s="182">
        <f t="shared" si="31"/>
        <v>27.32814</v>
      </c>
      <c r="G36" s="182">
        <f t="shared" si="31"/>
        <v>26.50221</v>
      </c>
      <c r="H36" s="182">
        <f t="shared" si="31"/>
        <v>25.67628</v>
      </c>
      <c r="I36" s="182">
        <f t="shared" si="31"/>
        <v>24.85035</v>
      </c>
      <c r="J36" s="182">
        <f t="shared" si="31"/>
        <v>24.02442</v>
      </c>
      <c r="K36" s="182">
        <f t="shared" si="31"/>
        <v>23.19849</v>
      </c>
      <c r="L36" s="182"/>
      <c r="M36" s="182"/>
      <c r="N36" s="182"/>
      <c r="O36" s="182"/>
      <c r="P36" s="107"/>
      <c r="T36" s="10"/>
      <c r="U36" s="10"/>
      <c r="V36" s="10"/>
      <c r="W36" s="10"/>
      <c r="X36" s="10"/>
      <c r="Y36" s="10"/>
      <c r="Z36" s="10"/>
    </row>
    <row r="37" spans="1:26">
      <c r="A37" s="114"/>
      <c r="B37" s="60" t="s">
        <v>200</v>
      </c>
      <c r="C37" s="61">
        <f t="shared" si="30"/>
        <v>117.606610405274</v>
      </c>
      <c r="D37" s="182">
        <f t="shared" si="31"/>
        <v>5.05987808392036</v>
      </c>
      <c r="E37" s="182">
        <f t="shared" si="31"/>
        <v>6.14075147848673</v>
      </c>
      <c r="F37" s="182">
        <f t="shared" si="31"/>
        <v>5.96060591272566</v>
      </c>
      <c r="G37" s="182">
        <f t="shared" si="31"/>
        <v>5.7804603469646</v>
      </c>
      <c r="H37" s="182">
        <f t="shared" si="31"/>
        <v>5.60031478120354</v>
      </c>
      <c r="I37" s="182">
        <f t="shared" si="31"/>
        <v>5.42016921544248</v>
      </c>
      <c r="J37" s="182">
        <f t="shared" si="31"/>
        <v>5.24002364968142</v>
      </c>
      <c r="K37" s="182">
        <f t="shared" si="31"/>
        <v>5.05987808392036</v>
      </c>
      <c r="L37" s="182"/>
      <c r="M37" s="182"/>
      <c r="N37" s="182"/>
      <c r="O37" s="182"/>
      <c r="P37" s="107"/>
      <c r="T37" s="10"/>
      <c r="U37" s="10"/>
      <c r="V37" s="10"/>
      <c r="W37" s="10"/>
      <c r="X37" s="10"/>
      <c r="Y37" s="10"/>
      <c r="Z37" s="10"/>
    </row>
    <row r="38" spans="1:26">
      <c r="A38" s="114">
        <v>1.2</v>
      </c>
      <c r="B38" s="60" t="s">
        <v>201</v>
      </c>
      <c r="C38" s="61">
        <f>C13</f>
        <v>34.0191024556304</v>
      </c>
      <c r="D38" s="182">
        <f t="shared" ref="D38:K42" si="32">Q13</f>
        <v>1.46680487608696</v>
      </c>
      <c r="E38" s="182">
        <f t="shared" si="32"/>
        <v>1.78013858478261</v>
      </c>
      <c r="F38" s="182">
        <f t="shared" si="32"/>
        <v>1.7279163</v>
      </c>
      <c r="G38" s="182">
        <f t="shared" si="32"/>
        <v>1.67569401521739</v>
      </c>
      <c r="H38" s="182">
        <f t="shared" si="32"/>
        <v>1.62347173043478</v>
      </c>
      <c r="I38" s="182">
        <f t="shared" si="32"/>
        <v>1.57124944565217</v>
      </c>
      <c r="J38" s="182">
        <f t="shared" si="32"/>
        <v>1.51902716086957</v>
      </c>
      <c r="K38" s="182">
        <f t="shared" si="32"/>
        <v>1.46680487608696</v>
      </c>
      <c r="L38" s="182"/>
      <c r="M38" s="182"/>
      <c r="N38" s="182"/>
      <c r="O38" s="182"/>
      <c r="P38" s="107"/>
      <c r="T38" s="10"/>
      <c r="U38" s="10"/>
      <c r="V38" s="10"/>
      <c r="W38" s="10"/>
      <c r="X38" s="10"/>
      <c r="Y38" s="10"/>
      <c r="Z38" s="10"/>
    </row>
    <row r="39" spans="1:26">
      <c r="A39" s="114"/>
      <c r="B39" s="60" t="s">
        <v>202</v>
      </c>
      <c r="C39" s="61">
        <f>C14</f>
        <v>0</v>
      </c>
      <c r="D39" s="182">
        <f t="shared" si="32"/>
        <v>3.5</v>
      </c>
      <c r="E39" s="182">
        <f t="shared" si="32"/>
        <v>3.5</v>
      </c>
      <c r="F39" s="182">
        <f t="shared" si="32"/>
        <v>3.5</v>
      </c>
      <c r="G39" s="182">
        <f t="shared" si="32"/>
        <v>3.5</v>
      </c>
      <c r="H39" s="182">
        <f t="shared" si="32"/>
        <v>3.5</v>
      </c>
      <c r="I39" s="182">
        <f t="shared" si="32"/>
        <v>3.5</v>
      </c>
      <c r="J39" s="182">
        <f t="shared" si="32"/>
        <v>3.5</v>
      </c>
      <c r="K39" s="182">
        <f t="shared" si="32"/>
        <v>3.5</v>
      </c>
      <c r="L39" s="182"/>
      <c r="M39" s="182"/>
      <c r="N39" s="182"/>
      <c r="O39" s="182"/>
      <c r="P39" s="107"/>
      <c r="T39" s="10"/>
      <c r="U39" s="10"/>
      <c r="V39" s="10"/>
      <c r="W39" s="10"/>
      <c r="X39" s="10"/>
      <c r="Y39" s="10"/>
      <c r="Z39" s="10"/>
    </row>
    <row r="40" spans="1:26">
      <c r="A40" s="114"/>
      <c r="B40" s="60" t="s">
        <v>203</v>
      </c>
      <c r="C40" s="61">
        <f>C15</f>
        <v>1.5405768</v>
      </c>
      <c r="D40" s="182">
        <f t="shared" si="32"/>
        <v>0.0662814</v>
      </c>
      <c r="E40" s="182">
        <f t="shared" si="32"/>
        <v>0.0804402</v>
      </c>
      <c r="F40" s="182">
        <f t="shared" si="32"/>
        <v>0.0780804</v>
      </c>
      <c r="G40" s="182">
        <f t="shared" si="32"/>
        <v>0.0757206</v>
      </c>
      <c r="H40" s="182">
        <f t="shared" si="32"/>
        <v>0.0733608</v>
      </c>
      <c r="I40" s="182">
        <f t="shared" si="32"/>
        <v>0.071001</v>
      </c>
      <c r="J40" s="182">
        <f t="shared" si="32"/>
        <v>0.0686412</v>
      </c>
      <c r="K40" s="182">
        <f t="shared" si="32"/>
        <v>0.0662814</v>
      </c>
      <c r="L40" s="182"/>
      <c r="M40" s="182"/>
      <c r="N40" s="182"/>
      <c r="O40" s="182"/>
      <c r="P40" s="107"/>
      <c r="T40" s="10"/>
      <c r="U40" s="10"/>
      <c r="V40" s="10"/>
      <c r="W40" s="10"/>
      <c r="X40" s="10"/>
      <c r="Y40" s="10"/>
      <c r="Z40" s="10"/>
    </row>
    <row r="41" spans="1:26">
      <c r="A41" s="114"/>
      <c r="B41" s="60" t="s">
        <v>204</v>
      </c>
      <c r="C41" s="61">
        <f>C16</f>
        <v>0</v>
      </c>
      <c r="D41" s="182">
        <f t="shared" si="32"/>
        <v>1.2</v>
      </c>
      <c r="E41" s="182">
        <f t="shared" si="32"/>
        <v>1.2</v>
      </c>
      <c r="F41" s="182">
        <f t="shared" si="32"/>
        <v>1.2</v>
      </c>
      <c r="G41" s="182">
        <f t="shared" si="32"/>
        <v>1.2</v>
      </c>
      <c r="H41" s="182">
        <f t="shared" si="32"/>
        <v>1.2</v>
      </c>
      <c r="I41" s="182">
        <f t="shared" si="32"/>
        <v>1.2</v>
      </c>
      <c r="J41" s="182">
        <f t="shared" si="32"/>
        <v>1.2</v>
      </c>
      <c r="K41" s="182">
        <f t="shared" si="32"/>
        <v>1.2</v>
      </c>
      <c r="L41" s="182"/>
      <c r="M41" s="182"/>
      <c r="N41" s="182"/>
      <c r="O41" s="182"/>
      <c r="P41" s="107"/>
      <c r="T41" s="10"/>
      <c r="U41" s="10"/>
      <c r="V41" s="10"/>
      <c r="W41" s="10"/>
      <c r="X41" s="10"/>
      <c r="Y41" s="10"/>
      <c r="Z41" s="10"/>
    </row>
    <row r="42" spans="1:26">
      <c r="A42" s="114"/>
      <c r="B42" s="60" t="s">
        <v>205</v>
      </c>
      <c r="C42" s="61">
        <f>C17</f>
        <v>1.82015217391304</v>
      </c>
      <c r="D42" s="182">
        <f t="shared" si="32"/>
        <v>0.0783097826086957</v>
      </c>
      <c r="E42" s="182">
        <f t="shared" si="32"/>
        <v>0.0950380434782609</v>
      </c>
      <c r="F42" s="182">
        <f t="shared" si="32"/>
        <v>0.09225</v>
      </c>
      <c r="G42" s="182">
        <f t="shared" si="32"/>
        <v>0.0894619565217391</v>
      </c>
      <c r="H42" s="182">
        <f t="shared" si="32"/>
        <v>0.0866739130434783</v>
      </c>
      <c r="I42" s="182">
        <f t="shared" si="32"/>
        <v>0.0838858695652174</v>
      </c>
      <c r="J42" s="182">
        <f t="shared" si="32"/>
        <v>0.0810978260869565</v>
      </c>
      <c r="K42" s="182">
        <f t="shared" si="32"/>
        <v>0.0783097826086957</v>
      </c>
      <c r="L42" s="182"/>
      <c r="M42" s="182"/>
      <c r="N42" s="182"/>
      <c r="O42" s="182"/>
      <c r="P42" s="107"/>
      <c r="T42" s="10"/>
      <c r="U42" s="10"/>
      <c r="V42" s="10"/>
      <c r="W42" s="10"/>
      <c r="X42" s="10"/>
      <c r="Y42" s="10"/>
      <c r="Z42" s="10"/>
    </row>
    <row r="43" spans="1:26">
      <c r="A43" s="114">
        <v>2</v>
      </c>
      <c r="B43" s="60" t="s">
        <v>207</v>
      </c>
      <c r="C43" s="61">
        <f t="shared" ref="C43:C51" si="33">C19</f>
        <v>9.34473183698761</v>
      </c>
      <c r="D43" s="182">
        <f t="shared" ref="D43:D51" si="34">Q19</f>
        <v>0.505987808392036</v>
      </c>
      <c r="E43" s="182">
        <f t="shared" ref="E43:E51" si="35">R19</f>
        <v>0.614075147848673</v>
      </c>
      <c r="F43" s="182">
        <f t="shared" ref="F43:F51" si="36">S19</f>
        <v>0.596060591272566</v>
      </c>
      <c r="G43" s="182">
        <f t="shared" ref="G43:G51" si="37">T19</f>
        <v>0.57804603469646</v>
      </c>
      <c r="H43" s="182">
        <f t="shared" ref="H43:H51" si="38">U19</f>
        <v>0.560031478120354</v>
      </c>
      <c r="I43" s="182">
        <f t="shared" ref="I43:I51" si="39">V19</f>
        <v>0.542016921544248</v>
      </c>
      <c r="J43" s="182">
        <f t="shared" ref="J43:J51" si="40">W19</f>
        <v>0.524002364968142</v>
      </c>
      <c r="K43" s="182">
        <f t="shared" ref="K43:K51" si="41">X19</f>
        <v>0.505987808392036</v>
      </c>
      <c r="L43" s="182"/>
      <c r="M43" s="182"/>
      <c r="N43" s="182"/>
      <c r="O43" s="182"/>
      <c r="P43" s="107"/>
      <c r="T43" s="10"/>
      <c r="U43" s="10"/>
      <c r="V43" s="10"/>
      <c r="W43" s="10"/>
      <c r="X43" s="10"/>
      <c r="Y43" s="10"/>
      <c r="Z43" s="10"/>
    </row>
    <row r="44" spans="1:26">
      <c r="A44" s="114">
        <v>2.1</v>
      </c>
      <c r="B44" s="60" t="s">
        <v>208</v>
      </c>
      <c r="C44" s="61">
        <f t="shared" si="33"/>
        <v>0</v>
      </c>
      <c r="D44" s="182">
        <f t="shared" si="34"/>
        <v>0</v>
      </c>
      <c r="E44" s="182">
        <f t="shared" si="35"/>
        <v>0</v>
      </c>
      <c r="F44" s="182">
        <f t="shared" si="36"/>
        <v>0</v>
      </c>
      <c r="G44" s="182">
        <f t="shared" si="37"/>
        <v>0</v>
      </c>
      <c r="H44" s="182">
        <f t="shared" si="38"/>
        <v>0</v>
      </c>
      <c r="I44" s="182">
        <f t="shared" si="39"/>
        <v>0</v>
      </c>
      <c r="J44" s="182">
        <f t="shared" si="40"/>
        <v>0</v>
      </c>
      <c r="K44" s="182">
        <f t="shared" si="41"/>
        <v>0</v>
      </c>
      <c r="L44" s="182"/>
      <c r="M44" s="182"/>
      <c r="N44" s="182"/>
      <c r="O44" s="182"/>
      <c r="P44" s="107"/>
      <c r="T44" s="10"/>
      <c r="U44" s="10"/>
      <c r="V44" s="10"/>
      <c r="W44" s="10"/>
      <c r="X44" s="10"/>
      <c r="Y44" s="10"/>
      <c r="Z44" s="10"/>
    </row>
    <row r="45" spans="1:26">
      <c r="A45" s="114">
        <v>2.2</v>
      </c>
      <c r="B45" s="60" t="s">
        <v>209</v>
      </c>
      <c r="C45" s="61">
        <f t="shared" si="33"/>
        <v>0</v>
      </c>
      <c r="D45" s="182">
        <f t="shared" si="34"/>
        <v>0</v>
      </c>
      <c r="E45" s="182">
        <f t="shared" si="35"/>
        <v>0</v>
      </c>
      <c r="F45" s="182">
        <f t="shared" si="36"/>
        <v>0</v>
      </c>
      <c r="G45" s="182">
        <f t="shared" si="37"/>
        <v>0</v>
      </c>
      <c r="H45" s="182">
        <f t="shared" si="38"/>
        <v>0</v>
      </c>
      <c r="I45" s="182">
        <f t="shared" si="39"/>
        <v>0</v>
      </c>
      <c r="J45" s="182">
        <f t="shared" si="40"/>
        <v>0</v>
      </c>
      <c r="K45" s="182">
        <f t="shared" si="41"/>
        <v>0</v>
      </c>
      <c r="L45" s="182"/>
      <c r="M45" s="182"/>
      <c r="N45" s="182"/>
      <c r="O45" s="182"/>
      <c r="P45" s="107"/>
      <c r="T45" s="10"/>
      <c r="U45" s="10"/>
      <c r="V45" s="10"/>
      <c r="W45" s="10"/>
      <c r="X45" s="10"/>
      <c r="Y45" s="10"/>
      <c r="Z45" s="10"/>
    </row>
    <row r="46" spans="1:26">
      <c r="A46" s="114">
        <v>2.4</v>
      </c>
      <c r="B46" s="60" t="s">
        <v>210</v>
      </c>
      <c r="C46" s="61">
        <f t="shared" si="33"/>
        <v>4.67236591849381</v>
      </c>
      <c r="D46" s="182">
        <f t="shared" si="34"/>
        <v>0.252993904196018</v>
      </c>
      <c r="E46" s="182">
        <f t="shared" si="35"/>
        <v>0.307037573924336</v>
      </c>
      <c r="F46" s="182">
        <f t="shared" si="36"/>
        <v>0.298030295636283</v>
      </c>
      <c r="G46" s="182">
        <f t="shared" si="37"/>
        <v>0.28902301734823</v>
      </c>
      <c r="H46" s="182">
        <f t="shared" si="38"/>
        <v>0.280015739060177</v>
      </c>
      <c r="I46" s="182">
        <f t="shared" si="39"/>
        <v>0.271008460772124</v>
      </c>
      <c r="J46" s="182">
        <f t="shared" si="40"/>
        <v>0.262001182484071</v>
      </c>
      <c r="K46" s="182">
        <f t="shared" si="41"/>
        <v>0.252993904196018</v>
      </c>
      <c r="L46" s="182"/>
      <c r="M46" s="182"/>
      <c r="N46" s="182"/>
      <c r="O46" s="182"/>
      <c r="P46" s="107"/>
      <c r="T46" s="10"/>
      <c r="U46" s="10"/>
      <c r="V46" s="10"/>
      <c r="W46" s="10"/>
      <c r="X46" s="10"/>
      <c r="Y46" s="10"/>
      <c r="Z46" s="10"/>
    </row>
    <row r="47" spans="1:26">
      <c r="A47" s="114">
        <v>2.5</v>
      </c>
      <c r="B47" s="60" t="s">
        <v>83</v>
      </c>
      <c r="C47" s="61">
        <f t="shared" si="33"/>
        <v>2.80341955109628</v>
      </c>
      <c r="D47" s="182">
        <f t="shared" si="34"/>
        <v>0.151796342517611</v>
      </c>
      <c r="E47" s="182">
        <f t="shared" si="35"/>
        <v>0.184222544354602</v>
      </c>
      <c r="F47" s="182">
        <f t="shared" si="36"/>
        <v>0.17881817738177</v>
      </c>
      <c r="G47" s="182">
        <f t="shared" si="37"/>
        <v>0.173413810408938</v>
      </c>
      <c r="H47" s="182">
        <f t="shared" si="38"/>
        <v>0.168009443436106</v>
      </c>
      <c r="I47" s="182">
        <f t="shared" si="39"/>
        <v>0.162605076463274</v>
      </c>
      <c r="J47" s="182">
        <f t="shared" si="40"/>
        <v>0.157200709490443</v>
      </c>
      <c r="K47" s="182">
        <f t="shared" si="41"/>
        <v>0.151796342517611</v>
      </c>
      <c r="L47" s="182"/>
      <c r="M47" s="182"/>
      <c r="N47" s="182"/>
      <c r="O47" s="182"/>
      <c r="P47" s="107"/>
      <c r="T47" s="10"/>
      <c r="U47" s="10"/>
      <c r="V47" s="10"/>
      <c r="W47" s="10"/>
      <c r="X47" s="10"/>
      <c r="Y47" s="10"/>
      <c r="Z47" s="10"/>
    </row>
    <row r="48" spans="1:26">
      <c r="A48" s="114">
        <v>2.6</v>
      </c>
      <c r="B48" s="60" t="s">
        <v>211</v>
      </c>
      <c r="C48" s="61">
        <f t="shared" si="33"/>
        <v>1.86894636739752</v>
      </c>
      <c r="D48" s="182">
        <f t="shared" si="34"/>
        <v>0.101197561678407</v>
      </c>
      <c r="E48" s="182">
        <f t="shared" si="35"/>
        <v>0.122815029569735</v>
      </c>
      <c r="F48" s="182">
        <f t="shared" si="36"/>
        <v>0.119212118254513</v>
      </c>
      <c r="G48" s="182">
        <f t="shared" si="37"/>
        <v>0.115609206939292</v>
      </c>
      <c r="H48" s="182">
        <f t="shared" si="38"/>
        <v>0.112006295624071</v>
      </c>
      <c r="I48" s="182">
        <f t="shared" si="39"/>
        <v>0.10840338430885</v>
      </c>
      <c r="J48" s="182">
        <f t="shared" si="40"/>
        <v>0.104800472993628</v>
      </c>
      <c r="K48" s="182">
        <f t="shared" si="41"/>
        <v>0.101197561678407</v>
      </c>
      <c r="L48" s="182"/>
      <c r="M48" s="182"/>
      <c r="N48" s="182"/>
      <c r="O48" s="182"/>
      <c r="P48" s="107"/>
      <c r="T48" s="11"/>
      <c r="U48" s="12"/>
      <c r="V48" s="12"/>
      <c r="W48" s="12"/>
      <c r="X48" s="12"/>
      <c r="Y48" s="12"/>
      <c r="Z48" s="12"/>
    </row>
    <row r="49" spans="1:26">
      <c r="A49" s="114">
        <v>3</v>
      </c>
      <c r="B49" s="60" t="s">
        <v>212</v>
      </c>
      <c r="C49" s="61">
        <f t="shared" si="33"/>
        <v>93.4473183698761</v>
      </c>
      <c r="D49" s="182">
        <f t="shared" si="34"/>
        <v>5.05987808392036</v>
      </c>
      <c r="E49" s="182">
        <f t="shared" si="35"/>
        <v>6.14075147848673</v>
      </c>
      <c r="F49" s="182">
        <f t="shared" si="36"/>
        <v>5.96060591272566</v>
      </c>
      <c r="G49" s="182">
        <f t="shared" si="37"/>
        <v>5.7804603469646</v>
      </c>
      <c r="H49" s="182">
        <f t="shared" si="38"/>
        <v>5.60031478120354</v>
      </c>
      <c r="I49" s="182">
        <f t="shared" si="39"/>
        <v>5.42016921544248</v>
      </c>
      <c r="J49" s="182">
        <f t="shared" si="40"/>
        <v>5.24002364968142</v>
      </c>
      <c r="K49" s="182">
        <f t="shared" si="41"/>
        <v>5.05987808392036</v>
      </c>
      <c r="L49" s="182"/>
      <c r="M49" s="182"/>
      <c r="N49" s="182"/>
      <c r="O49" s="182"/>
      <c r="P49" s="107"/>
      <c r="T49" s="12"/>
      <c r="U49" s="12"/>
      <c r="V49" s="12"/>
      <c r="W49" s="12"/>
      <c r="X49" s="12"/>
      <c r="Y49" s="12"/>
      <c r="Z49" s="12"/>
    </row>
    <row r="50" spans="1:26">
      <c r="A50" s="114">
        <v>3.1</v>
      </c>
      <c r="B50" s="60" t="s">
        <v>200</v>
      </c>
      <c r="C50" s="61">
        <f t="shared" si="33"/>
        <v>117.606610405274</v>
      </c>
      <c r="D50" s="182">
        <f t="shared" si="34"/>
        <v>5.05987808392036</v>
      </c>
      <c r="E50" s="182">
        <f t="shared" si="35"/>
        <v>6.14075147848673</v>
      </c>
      <c r="F50" s="182">
        <f t="shared" si="36"/>
        <v>5.96060591272566</v>
      </c>
      <c r="G50" s="182">
        <f t="shared" si="37"/>
        <v>5.7804603469646</v>
      </c>
      <c r="H50" s="182">
        <f t="shared" si="38"/>
        <v>5.60031478120354</v>
      </c>
      <c r="I50" s="182">
        <f t="shared" si="39"/>
        <v>5.42016921544248</v>
      </c>
      <c r="J50" s="182">
        <f t="shared" si="40"/>
        <v>5.24002364968142</v>
      </c>
      <c r="K50" s="182">
        <f t="shared" si="41"/>
        <v>5.05987808392036</v>
      </c>
      <c r="L50" s="182"/>
      <c r="M50" s="182"/>
      <c r="N50" s="182"/>
      <c r="O50" s="182"/>
      <c r="P50" s="107"/>
      <c r="T50" s="12"/>
      <c r="U50" s="12"/>
      <c r="V50" s="12"/>
      <c r="W50" s="12"/>
      <c r="X50" s="12"/>
      <c r="Y50" s="12"/>
      <c r="Z50" s="12"/>
    </row>
    <row r="51" ht="15" spans="1:16">
      <c r="A51" s="118">
        <v>3.2</v>
      </c>
      <c r="B51" s="119" t="s">
        <v>213</v>
      </c>
      <c r="C51" s="61">
        <f t="shared" si="33"/>
        <v>61.1904010497345</v>
      </c>
      <c r="D51" s="182">
        <f t="shared" si="34"/>
        <v>0</v>
      </c>
      <c r="E51" s="182">
        <f t="shared" si="35"/>
        <v>0</v>
      </c>
      <c r="F51" s="182">
        <f t="shared" si="36"/>
        <v>0</v>
      </c>
      <c r="G51" s="182">
        <f t="shared" si="37"/>
        <v>0</v>
      </c>
      <c r="H51" s="182">
        <f t="shared" si="38"/>
        <v>0</v>
      </c>
      <c r="I51" s="182">
        <f t="shared" si="39"/>
        <v>0</v>
      </c>
      <c r="J51" s="182">
        <f t="shared" si="40"/>
        <v>0</v>
      </c>
      <c r="K51" s="182">
        <f t="shared" si="41"/>
        <v>0</v>
      </c>
      <c r="L51" s="182"/>
      <c r="M51" s="182"/>
      <c r="N51" s="182"/>
      <c r="O51" s="182"/>
      <c r="P51" s="107"/>
    </row>
  </sheetData>
  <sheetProtection selectLockedCells="1" autoFilter="0"/>
  <mergeCells count="4">
    <mergeCell ref="A1:P1"/>
    <mergeCell ref="A2:P2"/>
    <mergeCell ref="T35:Z47"/>
    <mergeCell ref="T48:Z50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5"/>
  <sheetViews>
    <sheetView topLeftCell="A16" workbookViewId="0">
      <selection activeCell="B53" sqref="B53:H55"/>
    </sheetView>
  </sheetViews>
  <sheetFormatPr defaultColWidth="10" defaultRowHeight="14.25"/>
  <cols>
    <col min="1" max="8" width="10" style="1"/>
    <col min="9" max="9" width="8.875" style="1" customWidth="1"/>
    <col min="10" max="16384" width="10" style="1"/>
  </cols>
  <sheetData>
    <row r="1" ht="18.75" spans="1:23">
      <c r="A1" s="39" t="s">
        <v>214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51"/>
      <c r="R1" s="51"/>
      <c r="S1" s="51"/>
      <c r="T1" s="51"/>
      <c r="U1" s="51"/>
      <c r="V1" s="51"/>
      <c r="W1" s="51"/>
    </row>
    <row r="2" ht="15" spans="1:23">
      <c r="A2" s="171" t="s">
        <v>215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66"/>
      <c r="R2" s="66"/>
      <c r="S2" s="66"/>
      <c r="T2" s="66"/>
      <c r="U2" s="66"/>
      <c r="V2" s="66"/>
      <c r="W2" s="66"/>
    </row>
    <row r="3" spans="1:28">
      <c r="A3" s="17" t="s">
        <v>3</v>
      </c>
      <c r="B3" s="18" t="s">
        <v>4</v>
      </c>
      <c r="C3" s="18" t="s">
        <v>102</v>
      </c>
      <c r="D3" s="18" t="s">
        <v>158</v>
      </c>
      <c r="E3" s="18" t="s">
        <v>159</v>
      </c>
      <c r="F3" s="18" t="s">
        <v>160</v>
      </c>
      <c r="G3" s="18" t="s">
        <v>161</v>
      </c>
      <c r="H3" s="18" t="s">
        <v>162</v>
      </c>
      <c r="I3" s="18" t="s">
        <v>163</v>
      </c>
      <c r="J3" s="18" t="s">
        <v>164</v>
      </c>
      <c r="K3" s="18" t="s">
        <v>165</v>
      </c>
      <c r="L3" s="18" t="s">
        <v>166</v>
      </c>
      <c r="M3" s="18" t="s">
        <v>167</v>
      </c>
      <c r="N3" s="18" t="s">
        <v>168</v>
      </c>
      <c r="O3" s="18" t="s">
        <v>169</v>
      </c>
      <c r="P3" s="102" t="s">
        <v>170</v>
      </c>
      <c r="Q3" s="18" t="s">
        <v>171</v>
      </c>
      <c r="R3" s="18" t="s">
        <v>172</v>
      </c>
      <c r="S3" s="18" t="s">
        <v>173</v>
      </c>
      <c r="T3" s="18" t="s">
        <v>174</v>
      </c>
      <c r="U3" s="18" t="s">
        <v>175</v>
      </c>
      <c r="V3" s="18" t="s">
        <v>176</v>
      </c>
      <c r="W3" s="18" t="s">
        <v>177</v>
      </c>
      <c r="X3" s="18" t="s">
        <v>178</v>
      </c>
      <c r="Y3" s="18"/>
      <c r="Z3" s="18"/>
      <c r="AA3" s="18"/>
      <c r="AB3" s="18"/>
    </row>
    <row r="4" spans="1:28">
      <c r="A4" s="20"/>
      <c r="B4" s="21"/>
      <c r="C4" s="21"/>
      <c r="D4" s="21">
        <v>1</v>
      </c>
      <c r="E4" s="21">
        <v>2</v>
      </c>
      <c r="F4" s="21">
        <v>3</v>
      </c>
      <c r="G4" s="21">
        <v>4</v>
      </c>
      <c r="H4" s="21">
        <v>5</v>
      </c>
      <c r="I4" s="21">
        <v>6</v>
      </c>
      <c r="J4" s="21">
        <v>7</v>
      </c>
      <c r="K4" s="21">
        <v>8</v>
      </c>
      <c r="L4" s="21">
        <v>9</v>
      </c>
      <c r="M4" s="21">
        <v>10</v>
      </c>
      <c r="N4" s="21">
        <v>11</v>
      </c>
      <c r="O4" s="21">
        <v>12</v>
      </c>
      <c r="P4" s="21">
        <v>13</v>
      </c>
      <c r="Q4" s="21">
        <v>14</v>
      </c>
      <c r="R4" s="21">
        <v>15</v>
      </c>
      <c r="S4" s="21">
        <v>16</v>
      </c>
      <c r="T4" s="21">
        <v>17</v>
      </c>
      <c r="U4" s="21">
        <v>18</v>
      </c>
      <c r="V4" s="21">
        <v>19</v>
      </c>
      <c r="W4" s="21">
        <v>20</v>
      </c>
      <c r="X4" s="21">
        <v>21</v>
      </c>
      <c r="Y4" s="21"/>
      <c r="Z4" s="21"/>
      <c r="AA4" s="21"/>
      <c r="AB4" s="21"/>
    </row>
    <row r="5" spans="1:28">
      <c r="A5" s="59">
        <v>1</v>
      </c>
      <c r="B5" s="60" t="s">
        <v>216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</row>
    <row r="6" spans="1:28">
      <c r="A6" s="59"/>
      <c r="B6" s="60" t="s">
        <v>217</v>
      </c>
      <c r="C6" s="172"/>
      <c r="D6" s="172">
        <v>0</v>
      </c>
      <c r="E6" s="172">
        <f>IF(D8&gt;0,D8,0)</f>
        <v>0</v>
      </c>
      <c r="F6" s="172">
        <f t="shared" ref="F6:O6" si="0">IF(E8&gt;0,E8,0)</f>
        <v>0</v>
      </c>
      <c r="G6" s="172">
        <f t="shared" si="0"/>
        <v>0</v>
      </c>
      <c r="H6" s="172">
        <f t="shared" si="0"/>
        <v>0</v>
      </c>
      <c r="I6" s="172">
        <f t="shared" si="0"/>
        <v>0</v>
      </c>
      <c r="J6" s="172">
        <f t="shared" si="0"/>
        <v>0</v>
      </c>
      <c r="K6" s="172">
        <f t="shared" si="0"/>
        <v>0</v>
      </c>
      <c r="L6" s="172">
        <f t="shared" si="0"/>
        <v>0</v>
      </c>
      <c r="M6" s="172">
        <f t="shared" si="0"/>
        <v>0</v>
      </c>
      <c r="N6" s="172">
        <f t="shared" si="0"/>
        <v>0</v>
      </c>
      <c r="O6" s="172">
        <f t="shared" si="0"/>
        <v>0</v>
      </c>
      <c r="P6" s="172">
        <f t="shared" ref="P6" si="1">IF(O8&gt;0,O8,0)</f>
        <v>0</v>
      </c>
      <c r="Q6" s="172">
        <f t="shared" ref="Q6" si="2">IF(P8&gt;0,P8,0)</f>
        <v>0</v>
      </c>
      <c r="R6" s="172">
        <f t="shared" ref="R6" si="3">IF(Q8&gt;0,Q8,0)</f>
        <v>0</v>
      </c>
      <c r="S6" s="172">
        <f t="shared" ref="S6" si="4">IF(R8&gt;0,R8,0)</f>
        <v>0</v>
      </c>
      <c r="T6" s="172">
        <f t="shared" ref="T6" si="5">IF(S8&gt;0,S8,0)</f>
        <v>0</v>
      </c>
      <c r="U6" s="172">
        <f t="shared" ref="U6" si="6">IF(T8&gt;0,T8,0)</f>
        <v>0</v>
      </c>
      <c r="V6" s="172">
        <f t="shared" ref="V6" si="7">IF(U8&gt;0,U8,0)</f>
        <v>0</v>
      </c>
      <c r="W6" s="172">
        <f t="shared" ref="W6" si="8">IF(V8&gt;0,V8,0)</f>
        <v>0</v>
      </c>
      <c r="X6" s="172">
        <f t="shared" ref="X6" si="9">IF(W8&gt;0,W8,0)</f>
        <v>0</v>
      </c>
      <c r="Y6" s="172"/>
      <c r="Z6" s="172"/>
      <c r="AA6" s="172"/>
      <c r="AB6" s="172"/>
    </row>
    <row r="7" spans="1:28">
      <c r="A7" s="59"/>
      <c r="B7" s="60" t="s">
        <v>218</v>
      </c>
      <c r="C7" s="172">
        <f>SUM(D7:P7)+SUM(D24:P24)</f>
        <v>0</v>
      </c>
      <c r="D7" s="172">
        <v>0</v>
      </c>
      <c r="E7" s="172">
        <f>IF(E6&gt;D7,D7,0)</f>
        <v>0</v>
      </c>
      <c r="F7" s="172">
        <f t="shared" ref="F7:O7" si="10">IF(F6&gt;E7,E7,0)</f>
        <v>0</v>
      </c>
      <c r="G7" s="172">
        <f t="shared" si="10"/>
        <v>0</v>
      </c>
      <c r="H7" s="172">
        <f t="shared" si="10"/>
        <v>0</v>
      </c>
      <c r="I7" s="172">
        <f t="shared" si="10"/>
        <v>0</v>
      </c>
      <c r="J7" s="172">
        <f t="shared" si="10"/>
        <v>0</v>
      </c>
      <c r="K7" s="172">
        <f t="shared" si="10"/>
        <v>0</v>
      </c>
      <c r="L7" s="172">
        <f t="shared" si="10"/>
        <v>0</v>
      </c>
      <c r="M7" s="172">
        <f t="shared" si="10"/>
        <v>0</v>
      </c>
      <c r="N7" s="172">
        <f t="shared" si="10"/>
        <v>0</v>
      </c>
      <c r="O7" s="172">
        <f t="shared" si="10"/>
        <v>0</v>
      </c>
      <c r="P7" s="172">
        <f t="shared" ref="P7" si="11">IF(P6&gt;O7,O7,0)</f>
        <v>0</v>
      </c>
      <c r="Q7" s="172">
        <f t="shared" ref="Q7" si="12">IF(Q6&gt;P7,P7,0)</f>
        <v>0</v>
      </c>
      <c r="R7" s="172">
        <f t="shared" ref="R7" si="13">IF(R6&gt;Q7,Q7,0)</f>
        <v>0</v>
      </c>
      <c r="S7" s="172">
        <f t="shared" ref="S7" si="14">IF(S6&gt;R7,R7,0)</f>
        <v>0</v>
      </c>
      <c r="T7" s="172">
        <f t="shared" ref="T7" si="15">IF(T6&gt;S7,S7,0)</f>
        <v>0</v>
      </c>
      <c r="U7" s="172">
        <f t="shared" ref="U7" si="16">IF(U6&gt;T7,T7,0)</f>
        <v>0</v>
      </c>
      <c r="V7" s="172">
        <f t="shared" ref="V7" si="17">IF(V6&gt;U7,U7,0)</f>
        <v>0</v>
      </c>
      <c r="W7" s="172">
        <f t="shared" ref="W7" si="18">IF(W6&gt;V7,V7,0)</f>
        <v>0</v>
      </c>
      <c r="X7" s="172">
        <f t="shared" ref="X7" si="19">IF(X6&gt;W7,W7,0)</f>
        <v>0</v>
      </c>
      <c r="Y7" s="172"/>
      <c r="Z7" s="172"/>
      <c r="AA7" s="172"/>
      <c r="AB7" s="172"/>
    </row>
    <row r="8" spans="1:28">
      <c r="A8" s="59"/>
      <c r="B8" s="60" t="s">
        <v>219</v>
      </c>
      <c r="C8" s="172"/>
      <c r="D8" s="172">
        <f>D6-D7</f>
        <v>0</v>
      </c>
      <c r="E8" s="172">
        <f>E6-E7</f>
        <v>0</v>
      </c>
      <c r="F8" s="172">
        <f t="shared" ref="F8:O8" si="20">F6-F7</f>
        <v>0</v>
      </c>
      <c r="G8" s="172">
        <f t="shared" si="20"/>
        <v>0</v>
      </c>
      <c r="H8" s="172">
        <f t="shared" si="20"/>
        <v>0</v>
      </c>
      <c r="I8" s="172">
        <f t="shared" si="20"/>
        <v>0</v>
      </c>
      <c r="J8" s="172">
        <f t="shared" si="20"/>
        <v>0</v>
      </c>
      <c r="K8" s="172">
        <f t="shared" si="20"/>
        <v>0</v>
      </c>
      <c r="L8" s="172">
        <f t="shared" si="20"/>
        <v>0</v>
      </c>
      <c r="M8" s="172">
        <f t="shared" si="20"/>
        <v>0</v>
      </c>
      <c r="N8" s="172">
        <f t="shared" si="20"/>
        <v>0</v>
      </c>
      <c r="O8" s="172">
        <f t="shared" si="20"/>
        <v>0</v>
      </c>
      <c r="P8" s="172">
        <f t="shared" ref="P8:X8" si="21">P6-P7</f>
        <v>0</v>
      </c>
      <c r="Q8" s="172">
        <f t="shared" si="21"/>
        <v>0</v>
      </c>
      <c r="R8" s="172">
        <f t="shared" si="21"/>
        <v>0</v>
      </c>
      <c r="S8" s="172">
        <f t="shared" si="21"/>
        <v>0</v>
      </c>
      <c r="T8" s="172">
        <f t="shared" si="21"/>
        <v>0</v>
      </c>
      <c r="U8" s="172">
        <f t="shared" si="21"/>
        <v>0</v>
      </c>
      <c r="V8" s="172">
        <f t="shared" si="21"/>
        <v>0</v>
      </c>
      <c r="W8" s="172">
        <f t="shared" si="21"/>
        <v>0</v>
      </c>
      <c r="X8" s="172">
        <f t="shared" si="21"/>
        <v>0</v>
      </c>
      <c r="Y8" s="172"/>
      <c r="Z8" s="172"/>
      <c r="AA8" s="172"/>
      <c r="AB8" s="172"/>
    </row>
    <row r="9" spans="1:28">
      <c r="A9" s="59">
        <v>2</v>
      </c>
      <c r="B9" s="60" t="s">
        <v>220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</row>
    <row r="10" spans="1:28">
      <c r="A10" s="59"/>
      <c r="B10" s="60" t="s">
        <v>221</v>
      </c>
      <c r="C10" s="172"/>
      <c r="D10" s="172">
        <f>基础数据!B4-基础输入数据!K18</f>
        <v>185.840707964602</v>
      </c>
      <c r="E10" s="172">
        <f>IF(D12&gt;0,D12,0)</f>
        <v>173.871327433628</v>
      </c>
      <c r="F10" s="172">
        <f t="shared" ref="F10:O10" si="22">IF(E12&gt;0,E12,0)</f>
        <v>161.901946902655</v>
      </c>
      <c r="G10" s="172">
        <f t="shared" si="22"/>
        <v>149.932566371681</v>
      </c>
      <c r="H10" s="172">
        <f t="shared" si="22"/>
        <v>137.963185840708</v>
      </c>
      <c r="I10" s="172">
        <f t="shared" si="22"/>
        <v>125.993805309735</v>
      </c>
      <c r="J10" s="172">
        <f t="shared" si="22"/>
        <v>114.024424778761</v>
      </c>
      <c r="K10" s="172">
        <f t="shared" si="22"/>
        <v>102.055044247788</v>
      </c>
      <c r="L10" s="172">
        <f t="shared" si="22"/>
        <v>90.0856637168142</v>
      </c>
      <c r="M10" s="172">
        <f t="shared" si="22"/>
        <v>78.1162831858407</v>
      </c>
      <c r="N10" s="172">
        <f t="shared" si="22"/>
        <v>66.1469026548673</v>
      </c>
      <c r="O10" s="172">
        <f t="shared" si="22"/>
        <v>54.1775221238938</v>
      </c>
      <c r="P10" s="172">
        <f t="shared" ref="P10" si="23">IF(O12&gt;0,O12,0)</f>
        <v>42.2081415929204</v>
      </c>
      <c r="Q10" s="172">
        <f t="shared" ref="Q10" si="24">IF(P12&gt;0,P12,0)</f>
        <v>30.2387610619469</v>
      </c>
      <c r="R10" s="172">
        <f t="shared" ref="R10" si="25">IF(Q12&gt;0,Q12,0)</f>
        <v>18.2693805309735</v>
      </c>
      <c r="S10" s="172">
        <f t="shared" ref="S10" si="26">IF(R12&gt;0,R12,0)</f>
        <v>6.30000000000004</v>
      </c>
      <c r="T10" s="172">
        <f t="shared" ref="T10" si="27">IF(S12&gt;0,S12,0)</f>
        <v>6.30000000000004</v>
      </c>
      <c r="U10" s="172">
        <f t="shared" ref="U10" si="28">IF(T12&gt;0,T12,0)</f>
        <v>6.30000000000004</v>
      </c>
      <c r="V10" s="172">
        <f t="shared" ref="V10" si="29">IF(U12&gt;0,U12,0)</f>
        <v>6.30000000000004</v>
      </c>
      <c r="W10" s="172">
        <f t="shared" ref="W10" si="30">IF(V12&gt;0,V12,0)</f>
        <v>6.30000000000004</v>
      </c>
      <c r="X10" s="172">
        <f t="shared" ref="X10" si="31">IF(W12&gt;0,W12,0)</f>
        <v>6.30000000000004</v>
      </c>
      <c r="Y10" s="172"/>
      <c r="Z10" s="172"/>
      <c r="AA10" s="172"/>
      <c r="AB10" s="172"/>
    </row>
    <row r="11" spans="1:28">
      <c r="A11" s="59"/>
      <c r="B11" s="60" t="s">
        <v>218</v>
      </c>
      <c r="C11" s="172">
        <f>基础输入数据!D3-基础输入数据!D3*基础输入数据!K3-基础输入数据!K18</f>
        <v>179.540707964602</v>
      </c>
      <c r="D11" s="172">
        <f>IF(D4+0.1&gt;基础数据!$E$7+1,0,$C$11/基础数据!$E$7)</f>
        <v>11.9693805309734</v>
      </c>
      <c r="E11" s="172">
        <f>IF(E4+0.1&gt;基础数据!$E$7+1,0,$C$11/基础数据!$E$7)</f>
        <v>11.9693805309734</v>
      </c>
      <c r="F11" s="172">
        <f>IF(F4+0.1&gt;基础数据!$E$7+1,0,$C$11/基础数据!$E$7)</f>
        <v>11.9693805309734</v>
      </c>
      <c r="G11" s="172">
        <f>IF(G4+0.1&gt;基础数据!$E$7+1,0,$C$11/基础数据!$E$7)</f>
        <v>11.9693805309734</v>
      </c>
      <c r="H11" s="172">
        <f>IF(H4+0.1&gt;基础数据!$E$7+1,0,$C$11/基础数据!$E$7)</f>
        <v>11.9693805309734</v>
      </c>
      <c r="I11" s="172">
        <f>IF(I4+0.1&gt;基础数据!$E$7+1,0,$C$11/基础数据!$E$7)</f>
        <v>11.9693805309734</v>
      </c>
      <c r="J11" s="172">
        <f>IF(J4+0.1&gt;基础数据!$E$7+1,0,$C$11/基础数据!$E$7)</f>
        <v>11.9693805309734</v>
      </c>
      <c r="K11" s="172">
        <f>IF(K4+0.1&gt;基础数据!$E$7+1,0,$C$11/基础数据!$E$7)</f>
        <v>11.9693805309734</v>
      </c>
      <c r="L11" s="172">
        <f>IF(L4+0.1&gt;基础数据!$E$7+1,0,$C$11/基础数据!$E$7)</f>
        <v>11.9693805309734</v>
      </c>
      <c r="M11" s="172">
        <f>IF(M4+0.1&gt;基础数据!$E$7+1,0,$C$11/基础数据!$E$7)</f>
        <v>11.9693805309734</v>
      </c>
      <c r="N11" s="172">
        <f>IF(N4+0.1&gt;基础数据!$E$7+1,0,$C$11/基础数据!$E$7)</f>
        <v>11.9693805309734</v>
      </c>
      <c r="O11" s="172">
        <f>IF(O4+0.1&gt;基础数据!$E$7+1,0,$C$11/基础数据!$E$7)</f>
        <v>11.9693805309734</v>
      </c>
      <c r="P11" s="172">
        <f>IF(P4+0.1&gt;基础数据!$E$7+1,0,$C$11/基础数据!$E$7)</f>
        <v>11.9693805309734</v>
      </c>
      <c r="Q11" s="172">
        <f>IF(Q4+0.1&gt;基础数据!$E$7+1,0,$C$11/基础数据!$E$7)</f>
        <v>11.9693805309734</v>
      </c>
      <c r="R11" s="172">
        <f>IF(R4+0.1&gt;基础数据!$E$7+1,0,$C$11/基础数据!$E$7)</f>
        <v>11.9693805309734</v>
      </c>
      <c r="S11" s="172">
        <f>IF(S4+0.1&gt;基础数据!$E$7+1,0,$C$11/基础数据!$E$7)</f>
        <v>0</v>
      </c>
      <c r="T11" s="172">
        <f>IF(T4+0.1&gt;基础数据!$E$7+1,0,$C$11/基础数据!$E$7)</f>
        <v>0</v>
      </c>
      <c r="U11" s="172">
        <f>IF(U4+0.1&gt;基础数据!$E$7+1,0,$C$11/基础数据!$E$7)</f>
        <v>0</v>
      </c>
      <c r="V11" s="172">
        <f>IF(V4+0.1&gt;基础数据!$E$7+1,0,$C$11/基础数据!$E$7)</f>
        <v>0</v>
      </c>
      <c r="W11" s="172">
        <f>IF(W4+0.1&gt;基础数据!$E$7+1,0,$C$11/基础数据!$E$7)</f>
        <v>0</v>
      </c>
      <c r="X11" s="172">
        <f>IF(X4+0.1&gt;基础数据!$E$7+1,0,$C$11/基础数据!$E$7)</f>
        <v>0</v>
      </c>
      <c r="Y11" s="172"/>
      <c r="Z11" s="172"/>
      <c r="AA11" s="172"/>
      <c r="AB11" s="172"/>
    </row>
    <row r="12" spans="1:28">
      <c r="A12" s="59"/>
      <c r="B12" s="60" t="s">
        <v>219</v>
      </c>
      <c r="C12" s="172"/>
      <c r="D12" s="172">
        <f>D10-D11</f>
        <v>173.871327433628</v>
      </c>
      <c r="E12" s="172">
        <f>E10-E11</f>
        <v>161.901946902655</v>
      </c>
      <c r="F12" s="172">
        <f t="shared" ref="F12:O12" si="32">F10-F11</f>
        <v>149.932566371681</v>
      </c>
      <c r="G12" s="172">
        <f t="shared" si="32"/>
        <v>137.963185840708</v>
      </c>
      <c r="H12" s="172">
        <f t="shared" si="32"/>
        <v>125.993805309735</v>
      </c>
      <c r="I12" s="172">
        <f t="shared" si="32"/>
        <v>114.024424778761</v>
      </c>
      <c r="J12" s="172">
        <f t="shared" si="32"/>
        <v>102.055044247788</v>
      </c>
      <c r="K12" s="172">
        <f t="shared" si="32"/>
        <v>90.0856637168142</v>
      </c>
      <c r="L12" s="172">
        <f t="shared" si="32"/>
        <v>78.1162831858407</v>
      </c>
      <c r="M12" s="172">
        <f t="shared" si="32"/>
        <v>66.1469026548673</v>
      </c>
      <c r="N12" s="172">
        <f t="shared" si="32"/>
        <v>54.1775221238938</v>
      </c>
      <c r="O12" s="172">
        <f t="shared" si="32"/>
        <v>42.2081415929204</v>
      </c>
      <c r="P12" s="172">
        <f t="shared" ref="P12:X12" si="33">P10-P11</f>
        <v>30.2387610619469</v>
      </c>
      <c r="Q12" s="172">
        <f t="shared" si="33"/>
        <v>18.2693805309735</v>
      </c>
      <c r="R12" s="172">
        <f t="shared" si="33"/>
        <v>6.30000000000004</v>
      </c>
      <c r="S12" s="172">
        <f t="shared" si="33"/>
        <v>6.30000000000004</v>
      </c>
      <c r="T12" s="172">
        <f t="shared" si="33"/>
        <v>6.30000000000004</v>
      </c>
      <c r="U12" s="172">
        <f t="shared" si="33"/>
        <v>6.30000000000004</v>
      </c>
      <c r="V12" s="172">
        <f t="shared" si="33"/>
        <v>6.30000000000004</v>
      </c>
      <c r="W12" s="172">
        <f t="shared" si="33"/>
        <v>6.30000000000004</v>
      </c>
      <c r="X12" s="172">
        <f t="shared" si="33"/>
        <v>6.30000000000004</v>
      </c>
      <c r="Y12" s="172"/>
      <c r="Z12" s="172"/>
      <c r="AA12" s="172"/>
      <c r="AB12" s="172"/>
    </row>
    <row r="13" spans="1:28">
      <c r="A13" s="59"/>
      <c r="B13" s="60" t="s">
        <v>102</v>
      </c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</row>
    <row r="14" spans="1:28">
      <c r="A14" s="59"/>
      <c r="B14" s="60" t="s">
        <v>217</v>
      </c>
      <c r="C14" s="173"/>
      <c r="D14" s="173">
        <f>D6+D10</f>
        <v>185.840707964602</v>
      </c>
      <c r="E14" s="173">
        <f>E6+E10</f>
        <v>173.871327433628</v>
      </c>
      <c r="F14" s="173">
        <f t="shared" ref="F14:O15" si="34">F6+F10</f>
        <v>161.901946902655</v>
      </c>
      <c r="G14" s="173">
        <f t="shared" si="34"/>
        <v>149.932566371681</v>
      </c>
      <c r="H14" s="173">
        <f t="shared" si="34"/>
        <v>137.963185840708</v>
      </c>
      <c r="I14" s="173">
        <f t="shared" si="34"/>
        <v>125.993805309735</v>
      </c>
      <c r="J14" s="173">
        <f t="shared" si="34"/>
        <v>114.024424778761</v>
      </c>
      <c r="K14" s="173">
        <f t="shared" si="34"/>
        <v>102.055044247788</v>
      </c>
      <c r="L14" s="173">
        <f t="shared" si="34"/>
        <v>90.0856637168142</v>
      </c>
      <c r="M14" s="173">
        <f t="shared" si="34"/>
        <v>78.1162831858407</v>
      </c>
      <c r="N14" s="173">
        <f t="shared" si="34"/>
        <v>66.1469026548673</v>
      </c>
      <c r="O14" s="173">
        <f t="shared" si="34"/>
        <v>54.1775221238938</v>
      </c>
      <c r="P14" s="173">
        <f t="shared" ref="P14:X14" si="35">P6+P10</f>
        <v>42.2081415929204</v>
      </c>
      <c r="Q14" s="173">
        <f t="shared" si="35"/>
        <v>30.2387610619469</v>
      </c>
      <c r="R14" s="173">
        <f t="shared" si="35"/>
        <v>18.2693805309735</v>
      </c>
      <c r="S14" s="173">
        <f t="shared" si="35"/>
        <v>6.30000000000004</v>
      </c>
      <c r="T14" s="173">
        <f t="shared" si="35"/>
        <v>6.30000000000004</v>
      </c>
      <c r="U14" s="173">
        <f t="shared" si="35"/>
        <v>6.30000000000004</v>
      </c>
      <c r="V14" s="173">
        <f t="shared" si="35"/>
        <v>6.30000000000004</v>
      </c>
      <c r="W14" s="173">
        <f t="shared" si="35"/>
        <v>6.30000000000004</v>
      </c>
      <c r="X14" s="173">
        <f t="shared" si="35"/>
        <v>6.30000000000004</v>
      </c>
      <c r="Y14" s="173"/>
      <c r="Z14" s="173"/>
      <c r="AA14" s="173"/>
      <c r="AB14" s="173"/>
    </row>
    <row r="15" spans="1:28">
      <c r="A15" s="59"/>
      <c r="B15" s="60" t="s">
        <v>222</v>
      </c>
      <c r="C15" s="173">
        <f>SUM(D15:P15)+SUM(D32:P32)</f>
        <v>179.540707964602</v>
      </c>
      <c r="D15" s="173">
        <f>D7+D11</f>
        <v>11.9693805309734</v>
      </c>
      <c r="E15" s="173">
        <f>E7+E11</f>
        <v>11.9693805309734</v>
      </c>
      <c r="F15" s="173">
        <f t="shared" si="34"/>
        <v>11.9693805309734</v>
      </c>
      <c r="G15" s="173">
        <f t="shared" si="34"/>
        <v>11.9693805309734</v>
      </c>
      <c r="H15" s="173">
        <f t="shared" si="34"/>
        <v>11.9693805309734</v>
      </c>
      <c r="I15" s="173">
        <f t="shared" si="34"/>
        <v>11.9693805309734</v>
      </c>
      <c r="J15" s="173">
        <f t="shared" si="34"/>
        <v>11.9693805309734</v>
      </c>
      <c r="K15" s="173">
        <f t="shared" si="34"/>
        <v>11.9693805309734</v>
      </c>
      <c r="L15" s="173">
        <f t="shared" si="34"/>
        <v>11.9693805309734</v>
      </c>
      <c r="M15" s="173">
        <f t="shared" si="34"/>
        <v>11.9693805309734</v>
      </c>
      <c r="N15" s="173">
        <f t="shared" si="34"/>
        <v>11.9693805309734</v>
      </c>
      <c r="O15" s="173">
        <f t="shared" si="34"/>
        <v>11.9693805309734</v>
      </c>
      <c r="P15" s="173">
        <f t="shared" ref="P15:X15" si="36">P7+P11</f>
        <v>11.9693805309734</v>
      </c>
      <c r="Q15" s="173">
        <f t="shared" si="36"/>
        <v>11.9693805309734</v>
      </c>
      <c r="R15" s="173">
        <f t="shared" si="36"/>
        <v>11.9693805309734</v>
      </c>
      <c r="S15" s="173">
        <f t="shared" si="36"/>
        <v>0</v>
      </c>
      <c r="T15" s="173">
        <f t="shared" si="36"/>
        <v>0</v>
      </c>
      <c r="U15" s="173">
        <f t="shared" si="36"/>
        <v>0</v>
      </c>
      <c r="V15" s="173">
        <f t="shared" si="36"/>
        <v>0</v>
      </c>
      <c r="W15" s="173">
        <f t="shared" si="36"/>
        <v>0</v>
      </c>
      <c r="X15" s="173">
        <f t="shared" si="36"/>
        <v>0</v>
      </c>
      <c r="Y15" s="173"/>
      <c r="Z15" s="173"/>
      <c r="AA15" s="173"/>
      <c r="AB15" s="173"/>
    </row>
    <row r="16" ht="15" spans="1:28">
      <c r="A16" s="174"/>
      <c r="B16" s="119" t="s">
        <v>219</v>
      </c>
      <c r="C16" s="175"/>
      <c r="D16" s="175">
        <f>D14-D15</f>
        <v>173.871327433628</v>
      </c>
      <c r="E16" s="175">
        <f>E14-E15</f>
        <v>161.901946902655</v>
      </c>
      <c r="F16" s="175">
        <f t="shared" ref="F16:O16" si="37">F14-F15</f>
        <v>149.932566371681</v>
      </c>
      <c r="G16" s="175">
        <f t="shared" si="37"/>
        <v>137.963185840708</v>
      </c>
      <c r="H16" s="175">
        <f t="shared" si="37"/>
        <v>125.993805309735</v>
      </c>
      <c r="I16" s="175">
        <f t="shared" si="37"/>
        <v>114.024424778761</v>
      </c>
      <c r="J16" s="175">
        <f t="shared" si="37"/>
        <v>102.055044247788</v>
      </c>
      <c r="K16" s="175">
        <f t="shared" si="37"/>
        <v>90.0856637168142</v>
      </c>
      <c r="L16" s="175">
        <f t="shared" si="37"/>
        <v>78.1162831858407</v>
      </c>
      <c r="M16" s="175">
        <f t="shared" si="37"/>
        <v>66.1469026548673</v>
      </c>
      <c r="N16" s="175">
        <f t="shared" si="37"/>
        <v>54.1775221238938</v>
      </c>
      <c r="O16" s="175">
        <f t="shared" si="37"/>
        <v>42.2081415929204</v>
      </c>
      <c r="P16" s="175">
        <f t="shared" ref="P16:X16" si="38">P14-P15</f>
        <v>30.2387610619469</v>
      </c>
      <c r="Q16" s="175">
        <f t="shared" si="38"/>
        <v>18.2693805309735</v>
      </c>
      <c r="R16" s="175">
        <f t="shared" si="38"/>
        <v>6.30000000000004</v>
      </c>
      <c r="S16" s="175">
        <f t="shared" si="38"/>
        <v>6.30000000000004</v>
      </c>
      <c r="T16" s="175">
        <f t="shared" si="38"/>
        <v>6.30000000000004</v>
      </c>
      <c r="U16" s="175">
        <f t="shared" si="38"/>
        <v>6.30000000000004</v>
      </c>
      <c r="V16" s="175">
        <f t="shared" si="38"/>
        <v>6.30000000000004</v>
      </c>
      <c r="W16" s="175">
        <f t="shared" si="38"/>
        <v>6.30000000000004</v>
      </c>
      <c r="X16" s="175">
        <f t="shared" si="38"/>
        <v>6.30000000000004</v>
      </c>
      <c r="Y16" s="175"/>
      <c r="Z16" s="175"/>
      <c r="AA16" s="175"/>
      <c r="AB16" s="175"/>
    </row>
    <row r="17" spans="1:2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</row>
    <row r="18" spans="1:23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 ht="15" spans="1:23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 spans="1:23">
      <c r="A20" s="17" t="s">
        <v>3</v>
      </c>
      <c r="B20" s="18" t="s">
        <v>4</v>
      </c>
      <c r="C20" s="18" t="s">
        <v>102</v>
      </c>
      <c r="D20" s="18" t="s">
        <v>171</v>
      </c>
      <c r="E20" s="18" t="s">
        <v>172</v>
      </c>
      <c r="F20" s="18" t="s">
        <v>173</v>
      </c>
      <c r="G20" s="18" t="s">
        <v>174</v>
      </c>
      <c r="H20" s="18" t="s">
        <v>175</v>
      </c>
      <c r="I20" s="18" t="s">
        <v>176</v>
      </c>
      <c r="J20" s="18" t="s">
        <v>177</v>
      </c>
      <c r="K20" s="18" t="s">
        <v>178</v>
      </c>
      <c r="L20" s="18"/>
      <c r="M20" s="18"/>
      <c r="N20" s="18"/>
      <c r="O20" s="18"/>
      <c r="P20" s="157"/>
      <c r="Q20" s="66"/>
      <c r="R20" s="66"/>
      <c r="S20" s="66"/>
      <c r="T20" s="66"/>
      <c r="U20" s="66"/>
      <c r="V20" s="66"/>
      <c r="W20" s="66"/>
    </row>
    <row r="21" spans="1:23">
      <c r="A21" s="20"/>
      <c r="B21" s="21"/>
      <c r="C21" s="21"/>
      <c r="D21" s="21">
        <v>14</v>
      </c>
      <c r="E21" s="21">
        <v>15</v>
      </c>
      <c r="F21" s="21">
        <v>16</v>
      </c>
      <c r="G21" s="21">
        <v>17</v>
      </c>
      <c r="H21" s="21">
        <v>18</v>
      </c>
      <c r="I21" s="21">
        <v>19</v>
      </c>
      <c r="J21" s="21">
        <v>20</v>
      </c>
      <c r="K21" s="21">
        <v>21</v>
      </c>
      <c r="L21" s="21"/>
      <c r="M21" s="21"/>
      <c r="N21" s="21"/>
      <c r="O21" s="21"/>
      <c r="P21" s="158"/>
      <c r="Q21" s="66"/>
      <c r="R21" s="66"/>
      <c r="S21" s="66"/>
      <c r="T21" s="66"/>
      <c r="U21" s="66"/>
      <c r="V21" s="66"/>
      <c r="W21" s="66"/>
    </row>
    <row r="22" spans="1:23">
      <c r="A22" s="59">
        <v>1</v>
      </c>
      <c r="B22" s="60" t="s">
        <v>216</v>
      </c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63"/>
      <c r="Q22" s="66"/>
      <c r="R22" s="66"/>
      <c r="S22" s="66"/>
      <c r="T22" s="66"/>
      <c r="U22" s="66"/>
      <c r="V22" s="66"/>
      <c r="W22" s="66"/>
    </row>
    <row r="23" spans="1:23">
      <c r="A23" s="59"/>
      <c r="B23" s="60" t="s">
        <v>217</v>
      </c>
      <c r="C23" s="172"/>
      <c r="D23" s="172">
        <f>IF(P8&gt;0,P8,0)</f>
        <v>0</v>
      </c>
      <c r="E23" s="172">
        <f t="shared" ref="E23:K23" si="39">IF(D25&gt;0,D25,0)</f>
        <v>0</v>
      </c>
      <c r="F23" s="172">
        <f t="shared" si="39"/>
        <v>0</v>
      </c>
      <c r="G23" s="172">
        <f t="shared" si="39"/>
        <v>0</v>
      </c>
      <c r="H23" s="172">
        <f t="shared" si="39"/>
        <v>0</v>
      </c>
      <c r="I23" s="172">
        <f t="shared" si="39"/>
        <v>0</v>
      </c>
      <c r="J23" s="172">
        <f t="shared" si="39"/>
        <v>0</v>
      </c>
      <c r="K23" s="172">
        <f t="shared" si="39"/>
        <v>0</v>
      </c>
      <c r="L23" s="172"/>
      <c r="M23" s="172"/>
      <c r="N23" s="172"/>
      <c r="O23" s="172"/>
      <c r="P23" s="107"/>
      <c r="Q23" s="66"/>
      <c r="R23" s="66"/>
      <c r="S23" s="66"/>
      <c r="T23" s="66"/>
      <c r="U23" s="66"/>
      <c r="V23" s="66"/>
      <c r="W23" s="66"/>
    </row>
    <row r="24" spans="1:23">
      <c r="A24" s="59"/>
      <c r="B24" s="60" t="s">
        <v>218</v>
      </c>
      <c r="C24" s="172">
        <f>C7</f>
        <v>0</v>
      </c>
      <c r="D24" s="172">
        <f>IF(D23&gt;P7,P7,0)</f>
        <v>0</v>
      </c>
      <c r="E24" s="172">
        <f t="shared" ref="E24:K24" si="40">IF(E23&gt;D24,D24,0)</f>
        <v>0</v>
      </c>
      <c r="F24" s="172">
        <f t="shared" si="40"/>
        <v>0</v>
      </c>
      <c r="G24" s="172">
        <f t="shared" si="40"/>
        <v>0</v>
      </c>
      <c r="H24" s="172">
        <f t="shared" si="40"/>
        <v>0</v>
      </c>
      <c r="I24" s="172">
        <f t="shared" si="40"/>
        <v>0</v>
      </c>
      <c r="J24" s="172">
        <f t="shared" si="40"/>
        <v>0</v>
      </c>
      <c r="K24" s="172">
        <f t="shared" si="40"/>
        <v>0</v>
      </c>
      <c r="L24" s="172"/>
      <c r="M24" s="172"/>
      <c r="N24" s="172"/>
      <c r="O24" s="172"/>
      <c r="P24" s="107"/>
      <c r="Q24" s="66"/>
      <c r="R24" s="66"/>
      <c r="S24" s="66"/>
      <c r="T24" s="66"/>
      <c r="U24" s="66"/>
      <c r="V24" s="66"/>
      <c r="W24" s="66"/>
    </row>
    <row r="25" spans="1:23">
      <c r="A25" s="59"/>
      <c r="B25" s="60" t="s">
        <v>219</v>
      </c>
      <c r="C25" s="172"/>
      <c r="D25" s="172">
        <f t="shared" ref="D25:K25" si="41">D23-D24</f>
        <v>0</v>
      </c>
      <c r="E25" s="172">
        <f t="shared" si="41"/>
        <v>0</v>
      </c>
      <c r="F25" s="172">
        <f t="shared" si="41"/>
        <v>0</v>
      </c>
      <c r="G25" s="172">
        <f t="shared" si="41"/>
        <v>0</v>
      </c>
      <c r="H25" s="172">
        <f t="shared" si="41"/>
        <v>0</v>
      </c>
      <c r="I25" s="172">
        <f t="shared" si="41"/>
        <v>0</v>
      </c>
      <c r="J25" s="172">
        <f t="shared" si="41"/>
        <v>0</v>
      </c>
      <c r="K25" s="172">
        <f t="shared" si="41"/>
        <v>0</v>
      </c>
      <c r="L25" s="172"/>
      <c r="M25" s="172"/>
      <c r="N25" s="172"/>
      <c r="O25" s="172"/>
      <c r="P25" s="107"/>
      <c r="Q25" s="66"/>
      <c r="R25" s="66"/>
      <c r="S25" s="66"/>
      <c r="T25" s="66"/>
      <c r="U25" s="66"/>
      <c r="V25" s="66"/>
      <c r="W25" s="66"/>
    </row>
    <row r="26" spans="1:23">
      <c r="A26" s="59">
        <v>2</v>
      </c>
      <c r="B26" s="60" t="s">
        <v>220</v>
      </c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07"/>
      <c r="Q26" s="66"/>
      <c r="R26" s="66"/>
      <c r="S26" s="66"/>
      <c r="T26" s="66"/>
      <c r="U26" s="66"/>
      <c r="V26" s="66"/>
      <c r="W26" s="66"/>
    </row>
    <row r="27" spans="1:23">
      <c r="A27" s="59"/>
      <c r="B27" s="60" t="s">
        <v>221</v>
      </c>
      <c r="C27" s="172"/>
      <c r="D27" s="172">
        <f>IF(P12&gt;0,P12,0)</f>
        <v>30.2387610619469</v>
      </c>
      <c r="E27" s="172">
        <f t="shared" ref="E27:K27" si="42">IF(D29&gt;0,D29,0)</f>
        <v>18.2693805309735</v>
      </c>
      <c r="F27" s="172">
        <f t="shared" si="42"/>
        <v>6.30000000000004</v>
      </c>
      <c r="G27" s="172">
        <f t="shared" si="42"/>
        <v>6.30000000000004</v>
      </c>
      <c r="H27" s="172">
        <f t="shared" si="42"/>
        <v>6.30000000000004</v>
      </c>
      <c r="I27" s="172">
        <f t="shared" si="42"/>
        <v>6.30000000000004</v>
      </c>
      <c r="J27" s="172">
        <f t="shared" si="42"/>
        <v>6.30000000000004</v>
      </c>
      <c r="K27" s="172">
        <f t="shared" si="42"/>
        <v>6.30000000000004</v>
      </c>
      <c r="L27" s="172"/>
      <c r="M27" s="172"/>
      <c r="N27" s="172"/>
      <c r="O27" s="172"/>
      <c r="P27" s="107"/>
      <c r="Q27" s="66"/>
      <c r="R27" s="66"/>
      <c r="S27" s="66"/>
      <c r="T27" s="66"/>
      <c r="U27" s="66"/>
      <c r="V27" s="66"/>
      <c r="W27" s="66"/>
    </row>
    <row r="28" spans="1:23">
      <c r="A28" s="59"/>
      <c r="B28" s="60" t="s">
        <v>218</v>
      </c>
      <c r="C28" s="172">
        <f>C11</f>
        <v>179.540707964602</v>
      </c>
      <c r="D28" s="172">
        <f>IF(D21+0.1&gt;基础数据!$E$7+1,0,$C$11/基础数据!$E$7)</f>
        <v>11.9693805309734</v>
      </c>
      <c r="E28" s="172">
        <f>IF(E21+0.1&gt;基础数据!$E$7+1,0,$C$11/基础数据!$E$7)</f>
        <v>11.9693805309734</v>
      </c>
      <c r="F28" s="172">
        <f>IF(F21+0.1&gt;基础数据!$E$7+1,0,$C$11/基础数据!$E$7)</f>
        <v>0</v>
      </c>
      <c r="G28" s="172">
        <f>IF(G21+0.1&gt;基础数据!$E$7+1,0,$C$11/基础数据!$E$7)</f>
        <v>0</v>
      </c>
      <c r="H28" s="172">
        <f>IF(H21+0.1&gt;基础数据!$E$7+1,0,$C$11/基础数据!$E$7)</f>
        <v>0</v>
      </c>
      <c r="I28" s="172">
        <f>IF(I21+0.1&gt;基础数据!$E$7+1,0,$C$11/基础数据!$E$7)</f>
        <v>0</v>
      </c>
      <c r="J28" s="172">
        <f>IF(J21+0.1&gt;基础数据!$E$7+1,0,$C$11/基础数据!$E$7)</f>
        <v>0</v>
      </c>
      <c r="K28" s="172">
        <f>IF(K21+0.1&gt;基础数据!$E$7+1,0,$C$11/基础数据!$E$7)</f>
        <v>0</v>
      </c>
      <c r="L28" s="172"/>
      <c r="M28" s="172"/>
      <c r="N28" s="172"/>
      <c r="O28" s="172"/>
      <c r="P28" s="107"/>
      <c r="Q28" s="66"/>
      <c r="R28" s="66"/>
      <c r="S28" s="66"/>
      <c r="T28" s="66"/>
      <c r="U28" s="66"/>
      <c r="V28" s="66"/>
      <c r="W28" s="66"/>
    </row>
    <row r="29" spans="1:23">
      <c r="A29" s="59"/>
      <c r="B29" s="60" t="s">
        <v>219</v>
      </c>
      <c r="C29" s="172"/>
      <c r="D29" s="172">
        <f t="shared" ref="D29:K29" si="43">D27-D28</f>
        <v>18.2693805309735</v>
      </c>
      <c r="E29" s="172">
        <f t="shared" si="43"/>
        <v>6.30000000000004</v>
      </c>
      <c r="F29" s="172">
        <f t="shared" si="43"/>
        <v>6.30000000000004</v>
      </c>
      <c r="G29" s="172">
        <f t="shared" si="43"/>
        <v>6.30000000000004</v>
      </c>
      <c r="H29" s="172">
        <f t="shared" si="43"/>
        <v>6.30000000000004</v>
      </c>
      <c r="I29" s="172">
        <f t="shared" si="43"/>
        <v>6.30000000000004</v>
      </c>
      <c r="J29" s="172">
        <f t="shared" si="43"/>
        <v>6.30000000000004</v>
      </c>
      <c r="K29" s="172">
        <f t="shared" si="43"/>
        <v>6.30000000000004</v>
      </c>
      <c r="L29" s="172"/>
      <c r="M29" s="172"/>
      <c r="N29" s="172"/>
      <c r="O29" s="172"/>
      <c r="P29" s="107"/>
      <c r="Q29" s="66"/>
      <c r="R29" s="66"/>
      <c r="S29" s="66"/>
      <c r="T29" s="66"/>
      <c r="U29" s="66"/>
      <c r="V29" s="66"/>
      <c r="W29" s="66"/>
    </row>
    <row r="30" spans="1:23">
      <c r="A30" s="59"/>
      <c r="B30" s="60" t="s">
        <v>102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07"/>
      <c r="Q30" s="66"/>
      <c r="R30" s="66"/>
      <c r="S30" s="66"/>
      <c r="T30" s="66"/>
      <c r="U30" s="66"/>
      <c r="V30" s="66"/>
      <c r="W30" s="66"/>
    </row>
    <row r="31" spans="1:23">
      <c r="A31" s="59"/>
      <c r="B31" s="60" t="s">
        <v>217</v>
      </c>
      <c r="C31" s="173"/>
      <c r="D31" s="173">
        <f>D23+D27</f>
        <v>30.2387610619469</v>
      </c>
      <c r="E31" s="173">
        <f t="shared" ref="D31:K32" si="44">E23+E27</f>
        <v>18.2693805309735</v>
      </c>
      <c r="F31" s="173">
        <f t="shared" si="44"/>
        <v>6.30000000000004</v>
      </c>
      <c r="G31" s="173">
        <f t="shared" si="44"/>
        <v>6.30000000000004</v>
      </c>
      <c r="H31" s="173">
        <f t="shared" si="44"/>
        <v>6.30000000000004</v>
      </c>
      <c r="I31" s="173">
        <f t="shared" si="44"/>
        <v>6.30000000000004</v>
      </c>
      <c r="J31" s="173">
        <f t="shared" si="44"/>
        <v>6.30000000000004</v>
      </c>
      <c r="K31" s="173">
        <f t="shared" si="44"/>
        <v>6.30000000000004</v>
      </c>
      <c r="L31" s="173"/>
      <c r="M31" s="173"/>
      <c r="N31" s="173"/>
      <c r="O31" s="173"/>
      <c r="P31" s="176"/>
      <c r="Q31" s="66"/>
      <c r="R31" s="66"/>
      <c r="S31" s="66"/>
      <c r="T31" s="66"/>
      <c r="U31" s="66"/>
      <c r="V31" s="66"/>
      <c r="W31" s="66"/>
    </row>
    <row r="32" spans="1:23">
      <c r="A32" s="59"/>
      <c r="B32" s="60" t="s">
        <v>222</v>
      </c>
      <c r="C32" s="173">
        <f>C15</f>
        <v>179.540707964602</v>
      </c>
      <c r="D32" s="173">
        <f t="shared" si="44"/>
        <v>11.9693805309734</v>
      </c>
      <c r="E32" s="173">
        <f t="shared" si="44"/>
        <v>11.9693805309734</v>
      </c>
      <c r="F32" s="173">
        <f t="shared" si="44"/>
        <v>0</v>
      </c>
      <c r="G32" s="173">
        <f t="shared" si="44"/>
        <v>0</v>
      </c>
      <c r="H32" s="173">
        <f t="shared" si="44"/>
        <v>0</v>
      </c>
      <c r="I32" s="173">
        <f t="shared" si="44"/>
        <v>0</v>
      </c>
      <c r="J32" s="173">
        <f t="shared" si="44"/>
        <v>0</v>
      </c>
      <c r="K32" s="173">
        <f t="shared" si="44"/>
        <v>0</v>
      </c>
      <c r="L32" s="173"/>
      <c r="M32" s="173"/>
      <c r="N32" s="173"/>
      <c r="O32" s="173"/>
      <c r="P32" s="176"/>
      <c r="Q32" s="66"/>
      <c r="R32" s="66"/>
      <c r="S32" s="66"/>
      <c r="T32" s="66"/>
      <c r="U32" s="66"/>
      <c r="V32" s="66"/>
      <c r="W32" s="66"/>
    </row>
    <row r="33" ht="15" spans="1:23">
      <c r="A33" s="174"/>
      <c r="B33" s="119" t="s">
        <v>219</v>
      </c>
      <c r="C33" s="175"/>
      <c r="D33" s="175">
        <f>D31-D32</f>
        <v>18.2693805309735</v>
      </c>
      <c r="E33" s="175">
        <f t="shared" ref="E33:K33" si="45">E31-E32</f>
        <v>6.30000000000004</v>
      </c>
      <c r="F33" s="175">
        <f t="shared" si="45"/>
        <v>6.30000000000004</v>
      </c>
      <c r="G33" s="175">
        <f t="shared" si="45"/>
        <v>6.30000000000004</v>
      </c>
      <c r="H33" s="175">
        <f t="shared" si="45"/>
        <v>6.30000000000004</v>
      </c>
      <c r="I33" s="175">
        <f t="shared" si="45"/>
        <v>6.30000000000004</v>
      </c>
      <c r="J33" s="175">
        <f t="shared" si="45"/>
        <v>6.30000000000004</v>
      </c>
      <c r="K33" s="175">
        <f t="shared" si="45"/>
        <v>6.30000000000004</v>
      </c>
      <c r="L33" s="175"/>
      <c r="M33" s="175"/>
      <c r="N33" s="175"/>
      <c r="O33" s="175"/>
      <c r="P33" s="177"/>
      <c r="Q33" s="66"/>
      <c r="R33" s="66"/>
      <c r="S33" s="66"/>
      <c r="T33" s="66"/>
      <c r="U33" s="66"/>
      <c r="V33" s="66"/>
      <c r="W33" s="66"/>
    </row>
    <row r="34" spans="1:23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</row>
    <row r="35" spans="1:23">
      <c r="A35" s="66" t="s">
        <v>223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</row>
    <row r="36" spans="1:23">
      <c r="A36" s="99" t="s">
        <v>224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</row>
    <row r="40" spans="2:8">
      <c r="B40" s="10"/>
      <c r="C40" s="10"/>
      <c r="D40" s="10"/>
      <c r="E40" s="10"/>
      <c r="F40" s="10"/>
      <c r="G40" s="10"/>
      <c r="H40" s="10"/>
    </row>
    <row r="41" spans="2:8">
      <c r="B41" s="10"/>
      <c r="C41" s="10"/>
      <c r="D41" s="10"/>
      <c r="E41" s="10"/>
      <c r="F41" s="10"/>
      <c r="G41" s="10"/>
      <c r="H41" s="10"/>
    </row>
    <row r="42" spans="2:8">
      <c r="B42" s="10"/>
      <c r="C42" s="10"/>
      <c r="D42" s="10"/>
      <c r="E42" s="10"/>
      <c r="F42" s="10"/>
      <c r="G42" s="10"/>
      <c r="H42" s="10"/>
    </row>
    <row r="43" spans="2:8">
      <c r="B43" s="10"/>
      <c r="C43" s="10"/>
      <c r="D43" s="10"/>
      <c r="E43" s="10"/>
      <c r="F43" s="10"/>
      <c r="G43" s="10"/>
      <c r="H43" s="10"/>
    </row>
    <row r="44" spans="2:8">
      <c r="B44" s="10"/>
      <c r="C44" s="10"/>
      <c r="D44" s="10"/>
      <c r="E44" s="10"/>
      <c r="F44" s="10"/>
      <c r="G44" s="10"/>
      <c r="H44" s="10"/>
    </row>
    <row r="45" spans="2:8">
      <c r="B45" s="10"/>
      <c r="C45" s="10"/>
      <c r="D45" s="10"/>
      <c r="E45" s="10"/>
      <c r="F45" s="10"/>
      <c r="G45" s="10"/>
      <c r="H45" s="10"/>
    </row>
    <row r="46" spans="2:8">
      <c r="B46" s="10"/>
      <c r="C46" s="10"/>
      <c r="D46" s="10"/>
      <c r="E46" s="10"/>
      <c r="F46" s="10"/>
      <c r="G46" s="10"/>
      <c r="H46" s="10"/>
    </row>
    <row r="47" spans="2:8">
      <c r="B47" s="10"/>
      <c r="C47" s="10"/>
      <c r="D47" s="10"/>
      <c r="E47" s="10"/>
      <c r="F47" s="10"/>
      <c r="G47" s="10"/>
      <c r="H47" s="10"/>
    </row>
    <row r="48" spans="2:8">
      <c r="B48" s="10"/>
      <c r="C48" s="10"/>
      <c r="D48" s="10"/>
      <c r="E48" s="10"/>
      <c r="F48" s="10"/>
      <c r="G48" s="10"/>
      <c r="H48" s="10"/>
    </row>
    <row r="49" spans="2:8">
      <c r="B49" s="10"/>
      <c r="C49" s="10"/>
      <c r="D49" s="10"/>
      <c r="E49" s="10"/>
      <c r="F49" s="10"/>
      <c r="G49" s="10"/>
      <c r="H49" s="10"/>
    </row>
    <row r="50" spans="2:8">
      <c r="B50" s="10"/>
      <c r="C50" s="10"/>
      <c r="D50" s="10"/>
      <c r="E50" s="10"/>
      <c r="F50" s="10"/>
      <c r="G50" s="10"/>
      <c r="H50" s="10"/>
    </row>
    <row r="51" spans="2:8">
      <c r="B51" s="10"/>
      <c r="C51" s="10"/>
      <c r="D51" s="10"/>
      <c r="E51" s="10"/>
      <c r="F51" s="10"/>
      <c r="G51" s="10"/>
      <c r="H51" s="10"/>
    </row>
    <row r="52" spans="2:8">
      <c r="B52" s="10"/>
      <c r="C52" s="10"/>
      <c r="D52" s="10"/>
      <c r="E52" s="10"/>
      <c r="F52" s="10"/>
      <c r="G52" s="10"/>
      <c r="H52" s="10"/>
    </row>
    <row r="53" spans="2:8">
      <c r="B53" s="11"/>
      <c r="C53" s="12"/>
      <c r="D53" s="12"/>
      <c r="E53" s="12"/>
      <c r="F53" s="12"/>
      <c r="G53" s="12"/>
      <c r="H53" s="12"/>
    </row>
    <row r="54" spans="2:8">
      <c r="B54" s="12"/>
      <c r="C54" s="12"/>
      <c r="D54" s="12"/>
      <c r="E54" s="12"/>
      <c r="F54" s="12"/>
      <c r="G54" s="12"/>
      <c r="H54" s="12"/>
    </row>
    <row r="55" spans="2:8">
      <c r="B55" s="12"/>
      <c r="C55" s="12"/>
      <c r="D55" s="12"/>
      <c r="E55" s="12"/>
      <c r="F55" s="12"/>
      <c r="G55" s="12"/>
      <c r="H55" s="12"/>
    </row>
  </sheetData>
  <sheetProtection selectLockedCells="1" autoFilter="0"/>
  <mergeCells count="5">
    <mergeCell ref="A1:P1"/>
    <mergeCell ref="A2:P2"/>
    <mergeCell ref="A36:W36"/>
    <mergeCell ref="B40:H52"/>
    <mergeCell ref="B53:H5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7"/>
  <sheetViews>
    <sheetView workbookViewId="0">
      <selection activeCell="B35" sqref="B35:H37"/>
    </sheetView>
  </sheetViews>
  <sheetFormatPr defaultColWidth="10" defaultRowHeight="14.25"/>
  <cols>
    <col min="1" max="1" width="10" style="1"/>
    <col min="2" max="2" width="25.25" style="1" customWidth="1"/>
    <col min="3" max="16384" width="10" style="1"/>
  </cols>
  <sheetData>
    <row r="1" ht="20.25" spans="1:28">
      <c r="A1" s="15" t="s">
        <v>225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35"/>
      <c r="R1" s="35"/>
      <c r="S1" s="35"/>
      <c r="T1" s="35"/>
      <c r="U1" s="35"/>
      <c r="V1" s="35"/>
      <c r="W1" s="35"/>
      <c r="X1" s="52"/>
      <c r="Y1" s="52"/>
      <c r="Z1" s="52"/>
      <c r="AA1" s="52"/>
      <c r="AB1" s="52"/>
    </row>
    <row r="2" ht="15" spans="1:28">
      <c r="A2" s="31" t="s">
        <v>215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</row>
    <row r="3" spans="1:28">
      <c r="A3" s="32" t="s">
        <v>3</v>
      </c>
      <c r="B3" s="33" t="s">
        <v>4</v>
      </c>
      <c r="C3" s="159" t="s">
        <v>102</v>
      </c>
      <c r="D3" s="159" t="s">
        <v>158</v>
      </c>
      <c r="E3" s="159" t="s">
        <v>159</v>
      </c>
      <c r="F3" s="159" t="s">
        <v>160</v>
      </c>
      <c r="G3" s="159" t="s">
        <v>161</v>
      </c>
      <c r="H3" s="159" t="s">
        <v>162</v>
      </c>
      <c r="I3" s="159" t="s">
        <v>163</v>
      </c>
      <c r="J3" s="159" t="s">
        <v>164</v>
      </c>
      <c r="K3" s="159" t="s">
        <v>165</v>
      </c>
      <c r="L3" s="159" t="s">
        <v>166</v>
      </c>
      <c r="M3" s="159" t="s">
        <v>167</v>
      </c>
      <c r="N3" s="159" t="s">
        <v>168</v>
      </c>
      <c r="O3" s="159" t="s">
        <v>169</v>
      </c>
      <c r="P3" s="170" t="s">
        <v>170</v>
      </c>
      <c r="Q3" s="159" t="s">
        <v>171</v>
      </c>
      <c r="R3" s="159" t="s">
        <v>172</v>
      </c>
      <c r="S3" s="159" t="s">
        <v>173</v>
      </c>
      <c r="T3" s="159" t="s">
        <v>174</v>
      </c>
      <c r="U3" s="159" t="s">
        <v>175</v>
      </c>
      <c r="V3" s="159" t="s">
        <v>176</v>
      </c>
      <c r="W3" s="159" t="s">
        <v>177</v>
      </c>
      <c r="X3" s="159" t="s">
        <v>178</v>
      </c>
      <c r="Y3" s="159"/>
      <c r="Z3" s="159"/>
      <c r="AA3" s="159"/>
      <c r="AB3" s="159"/>
    </row>
    <row r="4" spans="1:28">
      <c r="A4" s="160">
        <v>1</v>
      </c>
      <c r="B4" s="41" t="s">
        <v>226</v>
      </c>
      <c r="C4" s="161">
        <f>SUM(D4:AB4)</f>
        <v>600.261988072336</v>
      </c>
      <c r="D4" s="161">
        <f>D5+D6+D11</f>
        <v>33.8202979030396</v>
      </c>
      <c r="E4" s="161">
        <f t="shared" ref="E4:X4" si="0">E5+E6+E11</f>
        <v>33.2147743362832</v>
      </c>
      <c r="F4" s="161">
        <f t="shared" si="0"/>
        <v>32.6092507695267</v>
      </c>
      <c r="G4" s="161">
        <f t="shared" si="0"/>
        <v>32.0037272027703</v>
      </c>
      <c r="H4" s="161">
        <f t="shared" si="0"/>
        <v>31.3982036360139</v>
      </c>
      <c r="I4" s="161">
        <f t="shared" si="0"/>
        <v>30.7926800692574</v>
      </c>
      <c r="J4" s="161">
        <f t="shared" si="0"/>
        <v>30.187156502501</v>
      </c>
      <c r="K4" s="161">
        <f t="shared" si="0"/>
        <v>33.8202979030396</v>
      </c>
      <c r="L4" s="161">
        <f t="shared" si="0"/>
        <v>33.2147743362832</v>
      </c>
      <c r="M4" s="161">
        <f t="shared" si="0"/>
        <v>32.6092507695267</v>
      </c>
      <c r="N4" s="161">
        <f t="shared" si="0"/>
        <v>32.0037272027703</v>
      </c>
      <c r="O4" s="161">
        <f t="shared" si="0"/>
        <v>31.3982036360139</v>
      </c>
      <c r="P4" s="161">
        <f t="shared" si="0"/>
        <v>30.7926800692574</v>
      </c>
      <c r="Q4" s="161">
        <f t="shared" si="0"/>
        <v>30.187156502501</v>
      </c>
      <c r="R4" s="161">
        <f t="shared" si="0"/>
        <v>33.8202979030396</v>
      </c>
      <c r="S4" s="161">
        <f t="shared" si="0"/>
        <v>21.2453938053097</v>
      </c>
      <c r="T4" s="161">
        <f t="shared" si="0"/>
        <v>20.6398702385533</v>
      </c>
      <c r="U4" s="161">
        <f t="shared" si="0"/>
        <v>20.0343466717969</v>
      </c>
      <c r="V4" s="161">
        <f t="shared" si="0"/>
        <v>19.4288231050404</v>
      </c>
      <c r="W4" s="161">
        <f t="shared" si="0"/>
        <v>18.823299538284</v>
      </c>
      <c r="X4" s="161">
        <f t="shared" si="0"/>
        <v>18.2177759715275</v>
      </c>
      <c r="Y4" s="161"/>
      <c r="Z4" s="161"/>
      <c r="AA4" s="161"/>
      <c r="AB4" s="161"/>
    </row>
    <row r="5" spans="1:28">
      <c r="A5" s="160">
        <v>1.1</v>
      </c>
      <c r="B5" s="41" t="s">
        <v>122</v>
      </c>
      <c r="C5" s="162">
        <f t="shared" ref="C5:C13" si="1">SUM(D5:AB5)</f>
        <v>21</v>
      </c>
      <c r="D5" s="162">
        <f>基础输入数据!$G$12*基础输入数据!$G$2/1000</f>
        <v>1</v>
      </c>
      <c r="E5" s="162">
        <f>基础输入数据!$G$12*基础输入数据!$G$2/1000</f>
        <v>1</v>
      </c>
      <c r="F5" s="162">
        <f>基础输入数据!$G$12*基础输入数据!$G$2/1000</f>
        <v>1</v>
      </c>
      <c r="G5" s="162">
        <f>基础输入数据!$G$12*基础输入数据!$G$2/1000</f>
        <v>1</v>
      </c>
      <c r="H5" s="162">
        <f>基础输入数据!$G$12*基础输入数据!$G$2/1000</f>
        <v>1</v>
      </c>
      <c r="I5" s="162">
        <f>基础输入数据!$G$12*基础输入数据!$G$2/1000</f>
        <v>1</v>
      </c>
      <c r="J5" s="162">
        <f>基础输入数据!$G$12*基础输入数据!$G$2/1000</f>
        <v>1</v>
      </c>
      <c r="K5" s="162">
        <f>基础输入数据!$G$12*基础输入数据!$G$2/1000</f>
        <v>1</v>
      </c>
      <c r="L5" s="162">
        <f>基础输入数据!$G$12*基础输入数据!$G$2/1000</f>
        <v>1</v>
      </c>
      <c r="M5" s="162">
        <f>基础输入数据!$G$12*基础输入数据!$G$2/1000</f>
        <v>1</v>
      </c>
      <c r="N5" s="162">
        <f>基础输入数据!$G$12*基础输入数据!$G$2/1000</f>
        <v>1</v>
      </c>
      <c r="O5" s="162">
        <f>基础输入数据!$G$12*基础输入数据!$G$2/1000</f>
        <v>1</v>
      </c>
      <c r="P5" s="162">
        <f>基础输入数据!$G$12*基础输入数据!$G$2/1000</f>
        <v>1</v>
      </c>
      <c r="Q5" s="162">
        <f>基础输入数据!$G$12*基础输入数据!$G$2/1000</f>
        <v>1</v>
      </c>
      <c r="R5" s="162">
        <f>基础输入数据!$G$12*基础输入数据!$G$2/1000</f>
        <v>1</v>
      </c>
      <c r="S5" s="162">
        <f>基础输入数据!$G$12*基础输入数据!$G$2/1000</f>
        <v>1</v>
      </c>
      <c r="T5" s="162">
        <f>基础输入数据!$G$12*基础输入数据!$G$2/1000</f>
        <v>1</v>
      </c>
      <c r="U5" s="162">
        <f>基础输入数据!$G$12*基础输入数据!$G$2/1000</f>
        <v>1</v>
      </c>
      <c r="V5" s="162">
        <f>基础输入数据!$G$12*基础输入数据!$G$2/1000</f>
        <v>1</v>
      </c>
      <c r="W5" s="162">
        <f>基础输入数据!$G$12*基础输入数据!$G$2/1000</f>
        <v>1</v>
      </c>
      <c r="X5" s="162">
        <f>基础输入数据!$G$12*基础输入数据!$G$2/1000</f>
        <v>1</v>
      </c>
      <c r="Y5" s="162"/>
      <c r="Z5" s="162"/>
      <c r="AA5" s="162"/>
      <c r="AB5" s="162"/>
    </row>
    <row r="6" spans="1:28">
      <c r="A6" s="160">
        <v>1.2</v>
      </c>
      <c r="B6" s="41" t="s">
        <v>227</v>
      </c>
      <c r="C6" s="162">
        <f t="shared" si="1"/>
        <v>395.311280107734</v>
      </c>
      <c r="D6" s="162">
        <f>D7-D10</f>
        <v>20.6409173720662</v>
      </c>
      <c r="E6" s="162">
        <f t="shared" ref="E6:X6" si="2">E7-E10</f>
        <v>20.0353938053097</v>
      </c>
      <c r="F6" s="162">
        <f t="shared" si="2"/>
        <v>19.4298702385533</v>
      </c>
      <c r="G6" s="162">
        <f t="shared" si="2"/>
        <v>18.8243466717968</v>
      </c>
      <c r="H6" s="162">
        <f t="shared" si="2"/>
        <v>18.2188231050404</v>
      </c>
      <c r="I6" s="162">
        <f t="shared" si="2"/>
        <v>17.613299538284</v>
      </c>
      <c r="J6" s="162">
        <f t="shared" si="2"/>
        <v>17.0077759715275</v>
      </c>
      <c r="K6" s="162">
        <f t="shared" si="2"/>
        <v>20.6409173720662</v>
      </c>
      <c r="L6" s="162">
        <f t="shared" si="2"/>
        <v>20.0353938053097</v>
      </c>
      <c r="M6" s="162">
        <f t="shared" si="2"/>
        <v>19.4298702385533</v>
      </c>
      <c r="N6" s="162">
        <f t="shared" si="2"/>
        <v>18.8243466717968</v>
      </c>
      <c r="O6" s="162">
        <f t="shared" si="2"/>
        <v>18.2188231050404</v>
      </c>
      <c r="P6" s="162">
        <f t="shared" si="2"/>
        <v>17.613299538284</v>
      </c>
      <c r="Q6" s="162">
        <f t="shared" si="2"/>
        <v>17.0077759715275</v>
      </c>
      <c r="R6" s="162">
        <f t="shared" si="2"/>
        <v>20.6409173720662</v>
      </c>
      <c r="S6" s="162">
        <f t="shared" si="2"/>
        <v>20.0353938053097</v>
      </c>
      <c r="T6" s="162">
        <f t="shared" si="2"/>
        <v>19.4298702385533</v>
      </c>
      <c r="U6" s="162">
        <f t="shared" si="2"/>
        <v>18.8243466717968</v>
      </c>
      <c r="V6" s="162">
        <f t="shared" si="2"/>
        <v>18.2188231050404</v>
      </c>
      <c r="W6" s="162">
        <f t="shared" si="2"/>
        <v>17.613299538284</v>
      </c>
      <c r="X6" s="162">
        <f t="shared" si="2"/>
        <v>17.0077759715275</v>
      </c>
      <c r="Y6" s="162"/>
      <c r="Z6" s="162"/>
      <c r="AA6" s="162"/>
      <c r="AB6" s="162"/>
    </row>
    <row r="7" spans="1:28">
      <c r="A7" s="160" t="s">
        <v>228</v>
      </c>
      <c r="B7" s="41" t="s">
        <v>229</v>
      </c>
      <c r="C7" s="162">
        <f t="shared" si="1"/>
        <v>446.701746521739</v>
      </c>
      <c r="D7" s="162">
        <f>D8*D9</f>
        <v>23.3242366304348</v>
      </c>
      <c r="E7" s="162">
        <f t="shared" ref="E7:X7" si="3">E8*E9</f>
        <v>22.639995</v>
      </c>
      <c r="F7" s="162">
        <f t="shared" si="3"/>
        <v>21.9557533695652</v>
      </c>
      <c r="G7" s="162">
        <f t="shared" si="3"/>
        <v>21.2715117391304</v>
      </c>
      <c r="H7" s="162">
        <f t="shared" si="3"/>
        <v>20.5872701086957</v>
      </c>
      <c r="I7" s="162">
        <f t="shared" si="3"/>
        <v>19.9030284782609</v>
      </c>
      <c r="J7" s="162">
        <f t="shared" si="3"/>
        <v>19.2187868478261</v>
      </c>
      <c r="K7" s="162">
        <f t="shared" si="3"/>
        <v>23.3242366304348</v>
      </c>
      <c r="L7" s="162">
        <f t="shared" si="3"/>
        <v>22.639995</v>
      </c>
      <c r="M7" s="162">
        <f t="shared" si="3"/>
        <v>21.9557533695652</v>
      </c>
      <c r="N7" s="162">
        <f t="shared" si="3"/>
        <v>21.2715117391304</v>
      </c>
      <c r="O7" s="162">
        <f t="shared" si="3"/>
        <v>20.5872701086957</v>
      </c>
      <c r="P7" s="162">
        <f t="shared" si="3"/>
        <v>19.9030284782609</v>
      </c>
      <c r="Q7" s="162">
        <f t="shared" si="3"/>
        <v>19.2187868478261</v>
      </c>
      <c r="R7" s="162">
        <f t="shared" si="3"/>
        <v>23.3242366304348</v>
      </c>
      <c r="S7" s="162">
        <f t="shared" si="3"/>
        <v>22.639995</v>
      </c>
      <c r="T7" s="162">
        <f t="shared" si="3"/>
        <v>21.9557533695652</v>
      </c>
      <c r="U7" s="162">
        <f t="shared" si="3"/>
        <v>21.2715117391304</v>
      </c>
      <c r="V7" s="162">
        <f t="shared" si="3"/>
        <v>20.5872701086957</v>
      </c>
      <c r="W7" s="162">
        <f t="shared" si="3"/>
        <v>19.9030284782609</v>
      </c>
      <c r="X7" s="162">
        <f t="shared" si="3"/>
        <v>19.2187868478261</v>
      </c>
      <c r="Y7" s="162"/>
      <c r="Z7" s="162"/>
      <c r="AA7" s="162"/>
      <c r="AB7" s="162"/>
    </row>
    <row r="8" spans="1:28">
      <c r="A8" s="160"/>
      <c r="B8" s="60" t="s">
        <v>230</v>
      </c>
      <c r="C8" s="162"/>
      <c r="D8" s="162">
        <f>基础输入数据!$G$8</f>
        <v>0.3506</v>
      </c>
      <c r="E8" s="162">
        <f>基础输入数据!$G$8</f>
        <v>0.3506</v>
      </c>
      <c r="F8" s="162">
        <f>基础输入数据!$G$8</f>
        <v>0.3506</v>
      </c>
      <c r="G8" s="162">
        <f>基础输入数据!$G$8</f>
        <v>0.3506</v>
      </c>
      <c r="H8" s="162">
        <f>基础输入数据!$G$8</f>
        <v>0.3506</v>
      </c>
      <c r="I8" s="162">
        <f>基础输入数据!$G$8</f>
        <v>0.3506</v>
      </c>
      <c r="J8" s="162">
        <f>基础输入数据!$G$8</f>
        <v>0.3506</v>
      </c>
      <c r="K8" s="162">
        <f>基础输入数据!$G$8</f>
        <v>0.3506</v>
      </c>
      <c r="L8" s="162">
        <f>基础输入数据!$G$8</f>
        <v>0.3506</v>
      </c>
      <c r="M8" s="162">
        <f>基础输入数据!$G$8</f>
        <v>0.3506</v>
      </c>
      <c r="N8" s="162">
        <f>基础输入数据!$G$8</f>
        <v>0.3506</v>
      </c>
      <c r="O8" s="162">
        <f>基础输入数据!$G$8</f>
        <v>0.3506</v>
      </c>
      <c r="P8" s="162">
        <f>基础输入数据!$G$8</f>
        <v>0.3506</v>
      </c>
      <c r="Q8" s="162">
        <f>基础输入数据!$G$8</f>
        <v>0.3506</v>
      </c>
      <c r="R8" s="162">
        <f>基础输入数据!$G$8</f>
        <v>0.3506</v>
      </c>
      <c r="S8" s="162">
        <f>基础输入数据!$G$8</f>
        <v>0.3506</v>
      </c>
      <c r="T8" s="162">
        <f>基础输入数据!$G$8</f>
        <v>0.3506</v>
      </c>
      <c r="U8" s="162">
        <f>基础输入数据!$G$8</f>
        <v>0.3506</v>
      </c>
      <c r="V8" s="162">
        <f>基础输入数据!$G$8</f>
        <v>0.3506</v>
      </c>
      <c r="W8" s="162">
        <f>基础输入数据!$G$8</f>
        <v>0.3506</v>
      </c>
      <c r="X8" s="162">
        <f>基础输入数据!$G$8</f>
        <v>0.3506</v>
      </c>
      <c r="Y8" s="162"/>
      <c r="Z8" s="162"/>
      <c r="AA8" s="162"/>
      <c r="AB8" s="162"/>
    </row>
    <row r="9" spans="1:28">
      <c r="A9" s="160"/>
      <c r="B9" s="60" t="s">
        <v>231</v>
      </c>
      <c r="C9" s="162">
        <f t="shared" si="1"/>
        <v>1274.10652173913</v>
      </c>
      <c r="D9" s="162">
        <f>'表1 充放电量'!D4</f>
        <v>66.5266304347826</v>
      </c>
      <c r="E9" s="162">
        <f>'表1 充放电量'!E4</f>
        <v>64.575</v>
      </c>
      <c r="F9" s="162">
        <f>'表1 充放电量'!F4</f>
        <v>62.6233695652174</v>
      </c>
      <c r="G9" s="162">
        <f>'表1 充放电量'!G4</f>
        <v>60.6717391304348</v>
      </c>
      <c r="H9" s="162">
        <f>'表1 充放电量'!H4</f>
        <v>58.7201086956522</v>
      </c>
      <c r="I9" s="162">
        <f>'表1 充放电量'!I4</f>
        <v>56.7684782608696</v>
      </c>
      <c r="J9" s="162">
        <f>'表1 充放电量'!J4</f>
        <v>54.816847826087</v>
      </c>
      <c r="K9" s="162">
        <f>'表1 充放电量'!K4</f>
        <v>66.5266304347826</v>
      </c>
      <c r="L9" s="162">
        <f>'表1 充放电量'!L4</f>
        <v>64.575</v>
      </c>
      <c r="M9" s="162">
        <f>'表1 充放电量'!M4</f>
        <v>62.6233695652174</v>
      </c>
      <c r="N9" s="162">
        <f>'表1 充放电量'!N4</f>
        <v>60.6717391304348</v>
      </c>
      <c r="O9" s="162">
        <f>'表1 充放电量'!O4</f>
        <v>58.7201086956522</v>
      </c>
      <c r="P9" s="162">
        <f>'表1 充放电量'!P4</f>
        <v>56.7684782608696</v>
      </c>
      <c r="Q9" s="162">
        <f>'表1 充放电量'!Q4</f>
        <v>54.816847826087</v>
      </c>
      <c r="R9" s="162">
        <f>'表1 充放电量'!R4</f>
        <v>66.5266304347826</v>
      </c>
      <c r="S9" s="162">
        <f>'表1 充放电量'!S4</f>
        <v>64.575</v>
      </c>
      <c r="T9" s="162">
        <f>'表1 充放电量'!T4</f>
        <v>62.6233695652174</v>
      </c>
      <c r="U9" s="162">
        <f>'表1 充放电量'!U4</f>
        <v>60.6717391304348</v>
      </c>
      <c r="V9" s="162">
        <f>'表1 充放电量'!V4</f>
        <v>58.7201086956522</v>
      </c>
      <c r="W9" s="162">
        <f>'表1 充放电量'!W4</f>
        <v>56.7684782608696</v>
      </c>
      <c r="X9" s="162">
        <f>'表1 充放电量'!X4</f>
        <v>54.816847826087</v>
      </c>
      <c r="Y9" s="162"/>
      <c r="Z9" s="162"/>
      <c r="AA9" s="162"/>
      <c r="AB9" s="162"/>
    </row>
    <row r="10" spans="1:28">
      <c r="A10" s="160" t="s">
        <v>232</v>
      </c>
      <c r="B10" s="60" t="s">
        <v>233</v>
      </c>
      <c r="C10" s="162">
        <f t="shared" si="1"/>
        <v>51.3904664140054</v>
      </c>
      <c r="D10" s="162">
        <f>D7/(1+基础输入数据!$K$9)*基础输入数据!$K$9</f>
        <v>2.6833192583686</v>
      </c>
      <c r="E10" s="162">
        <f>E7/(1+基础输入数据!$K$9)*基础输入数据!$K$9</f>
        <v>2.60460119469027</v>
      </c>
      <c r="F10" s="162">
        <f>F7/(1+基础输入数据!$K$9)*基础输入数据!$K$9</f>
        <v>2.52588313101193</v>
      </c>
      <c r="G10" s="162">
        <f>G7/(1+基础输入数据!$K$9)*基础输入数据!$K$9</f>
        <v>2.44716506733359</v>
      </c>
      <c r="H10" s="162">
        <f>H7/(1+基础输入数据!$K$9)*基础输入数据!$K$9</f>
        <v>2.36844700365525</v>
      </c>
      <c r="I10" s="162">
        <f>I7/(1+基础输入数据!$K$9)*基础输入数据!$K$9</f>
        <v>2.28972893997692</v>
      </c>
      <c r="J10" s="162">
        <f>J7/(1+基础输入数据!$K$9)*基础输入数据!$K$9</f>
        <v>2.21101087629858</v>
      </c>
      <c r="K10" s="162">
        <f>K7/(1+基础输入数据!$K$9)*基础输入数据!$K$9</f>
        <v>2.6833192583686</v>
      </c>
      <c r="L10" s="162">
        <f>L7/(1+基础输入数据!$K$9)*基础输入数据!$K$9</f>
        <v>2.60460119469027</v>
      </c>
      <c r="M10" s="162">
        <f>M7/(1+基础输入数据!$K$9)*基础输入数据!$K$9</f>
        <v>2.52588313101193</v>
      </c>
      <c r="N10" s="162">
        <f>N7/(1+基础输入数据!$K$9)*基础输入数据!$K$9</f>
        <v>2.44716506733359</v>
      </c>
      <c r="O10" s="162">
        <f>O7/(1+基础输入数据!$K$9)*基础输入数据!$K$9</f>
        <v>2.36844700365525</v>
      </c>
      <c r="P10" s="162">
        <f>P7/(1+基础输入数据!$K$9)*基础输入数据!$K$9</f>
        <v>2.28972893997692</v>
      </c>
      <c r="Q10" s="162">
        <f>Q7/(1+基础输入数据!$K$9)*基础输入数据!$K$9</f>
        <v>2.21101087629858</v>
      </c>
      <c r="R10" s="162">
        <f>R7/(1+基础输入数据!$K$9)*基础输入数据!$K$9</f>
        <v>2.6833192583686</v>
      </c>
      <c r="S10" s="162">
        <f>S7/(1+基础输入数据!$K$9)*基础输入数据!$K$9</f>
        <v>2.60460119469027</v>
      </c>
      <c r="T10" s="162">
        <f>T7/(1+基础输入数据!$K$9)*基础输入数据!$K$9</f>
        <v>2.52588313101193</v>
      </c>
      <c r="U10" s="162">
        <f>U7/(1+基础输入数据!$K$9)*基础输入数据!$K$9</f>
        <v>2.44716506733359</v>
      </c>
      <c r="V10" s="162">
        <f>V7/(1+基础输入数据!$K$9)*基础输入数据!$K$9</f>
        <v>2.36844700365525</v>
      </c>
      <c r="W10" s="162">
        <f>W7/(1+基础输入数据!$K$9)*基础输入数据!$K$9</f>
        <v>2.28972893997692</v>
      </c>
      <c r="X10" s="162">
        <f>X7/(1+基础输入数据!$K$9)*基础输入数据!$K$9</f>
        <v>2.21101087629858</v>
      </c>
      <c r="Y10" s="162"/>
      <c r="Z10" s="162"/>
      <c r="AA10" s="162"/>
      <c r="AB10" s="162"/>
    </row>
    <row r="11" spans="1:28">
      <c r="A11" s="160">
        <v>1.4</v>
      </c>
      <c r="B11" s="41" t="s">
        <v>234</v>
      </c>
      <c r="C11" s="162">
        <f t="shared" si="1"/>
        <v>183.950707964602</v>
      </c>
      <c r="D11" s="162">
        <f t="shared" ref="D11:L11" si="4">SUM(D12:D13)</f>
        <v>12.1793805309735</v>
      </c>
      <c r="E11" s="162">
        <f t="shared" si="4"/>
        <v>12.1793805309735</v>
      </c>
      <c r="F11" s="162">
        <f t="shared" si="4"/>
        <v>12.1793805309735</v>
      </c>
      <c r="G11" s="162">
        <f t="shared" si="4"/>
        <v>12.1793805309735</v>
      </c>
      <c r="H11" s="162">
        <f t="shared" si="4"/>
        <v>12.1793805309735</v>
      </c>
      <c r="I11" s="162">
        <f t="shared" si="4"/>
        <v>12.1793805309735</v>
      </c>
      <c r="J11" s="162">
        <f t="shared" si="4"/>
        <v>12.1793805309735</v>
      </c>
      <c r="K11" s="162">
        <f t="shared" si="4"/>
        <v>12.1793805309735</v>
      </c>
      <c r="L11" s="162">
        <f t="shared" si="4"/>
        <v>12.1793805309735</v>
      </c>
      <c r="M11" s="162">
        <f t="shared" ref="M11" si="5">SUM(M12:M13)</f>
        <v>12.1793805309735</v>
      </c>
      <c r="N11" s="162">
        <f t="shared" ref="N11" si="6">SUM(N12:N13)</f>
        <v>12.1793805309735</v>
      </c>
      <c r="O11" s="162">
        <f t="shared" ref="O11" si="7">SUM(O12:O13)</f>
        <v>12.1793805309735</v>
      </c>
      <c r="P11" s="162">
        <f t="shared" ref="P11" si="8">SUM(P12:P13)</f>
        <v>12.1793805309735</v>
      </c>
      <c r="Q11" s="162">
        <f t="shared" ref="Q11" si="9">SUM(Q12:Q13)</f>
        <v>12.1793805309735</v>
      </c>
      <c r="R11" s="162">
        <f t="shared" ref="R11" si="10">SUM(R12:R13)</f>
        <v>12.1793805309735</v>
      </c>
      <c r="S11" s="162">
        <f t="shared" ref="S11" si="11">SUM(S12:S13)</f>
        <v>0.21</v>
      </c>
      <c r="T11" s="162">
        <f t="shared" ref="T11" si="12">SUM(T12:T13)</f>
        <v>0.21</v>
      </c>
      <c r="U11" s="162">
        <f t="shared" ref="U11" si="13">SUM(U12:U13)</f>
        <v>0.21</v>
      </c>
      <c r="V11" s="162">
        <f t="shared" ref="V11" si="14">SUM(V12:V13)</f>
        <v>0.21</v>
      </c>
      <c r="W11" s="162">
        <f t="shared" ref="W11" si="15">SUM(W12:W13)</f>
        <v>0.21</v>
      </c>
      <c r="X11" s="162">
        <f t="shared" ref="X11" si="16">SUM(X12:X13)</f>
        <v>0.21</v>
      </c>
      <c r="Y11" s="162"/>
      <c r="Z11" s="162"/>
      <c r="AA11" s="162"/>
      <c r="AB11" s="162"/>
    </row>
    <row r="12" spans="1:28">
      <c r="A12" s="160" t="s">
        <v>235</v>
      </c>
      <c r="B12" s="41" t="s">
        <v>236</v>
      </c>
      <c r="C12" s="162">
        <f t="shared" si="1"/>
        <v>179.540707964602</v>
      </c>
      <c r="D12" s="162">
        <f>'表3 固定资产折旧费估算表'!D15</f>
        <v>11.9693805309734</v>
      </c>
      <c r="E12" s="162">
        <f>'表3 固定资产折旧费估算表'!E15</f>
        <v>11.9693805309734</v>
      </c>
      <c r="F12" s="162">
        <f>'表3 固定资产折旧费估算表'!F15</f>
        <v>11.9693805309734</v>
      </c>
      <c r="G12" s="162">
        <f>'表3 固定资产折旧费估算表'!G15</f>
        <v>11.9693805309734</v>
      </c>
      <c r="H12" s="162">
        <f>'表3 固定资产折旧费估算表'!H15</f>
        <v>11.9693805309734</v>
      </c>
      <c r="I12" s="162">
        <f>'表3 固定资产折旧费估算表'!I15</f>
        <v>11.9693805309734</v>
      </c>
      <c r="J12" s="162">
        <f>'表3 固定资产折旧费估算表'!J15</f>
        <v>11.9693805309734</v>
      </c>
      <c r="K12" s="162">
        <f>'表3 固定资产折旧费估算表'!K15</f>
        <v>11.9693805309734</v>
      </c>
      <c r="L12" s="162">
        <f>'表3 固定资产折旧费估算表'!L11</f>
        <v>11.9693805309734</v>
      </c>
      <c r="M12" s="162">
        <f>'表3 固定资产折旧费估算表'!M15</f>
        <v>11.9693805309734</v>
      </c>
      <c r="N12" s="162">
        <f>'表3 固定资产折旧费估算表'!N15</f>
        <v>11.9693805309734</v>
      </c>
      <c r="O12" s="162">
        <f>'表3 固定资产折旧费估算表'!O15</f>
        <v>11.9693805309734</v>
      </c>
      <c r="P12" s="162">
        <f>'表3 固定资产折旧费估算表'!P15</f>
        <v>11.9693805309734</v>
      </c>
      <c r="Q12" s="162">
        <f>'表3 固定资产折旧费估算表'!Q15</f>
        <v>11.9693805309734</v>
      </c>
      <c r="R12" s="162">
        <f>'表3 固定资产折旧费估算表'!R15</f>
        <v>11.9693805309734</v>
      </c>
      <c r="S12" s="162">
        <f>'表3 固定资产折旧费估算表'!S15</f>
        <v>0</v>
      </c>
      <c r="T12" s="162">
        <f>'表3 固定资产折旧费估算表'!T15</f>
        <v>0</v>
      </c>
      <c r="U12" s="162">
        <f>'表3 固定资产折旧费估算表'!U15</f>
        <v>0</v>
      </c>
      <c r="V12" s="162">
        <f>'表3 固定资产折旧费估算表'!V15</f>
        <v>0</v>
      </c>
      <c r="W12" s="162">
        <f>'表3 固定资产折旧费估算表'!W15</f>
        <v>0</v>
      </c>
      <c r="X12" s="162">
        <f>'表3 固定资产折旧费估算表'!X15</f>
        <v>0</v>
      </c>
      <c r="Y12" s="162"/>
      <c r="Z12" s="162"/>
      <c r="AA12" s="162"/>
      <c r="AB12" s="162"/>
    </row>
    <row r="13" spans="1:28">
      <c r="A13" s="160" t="s">
        <v>237</v>
      </c>
      <c r="B13" s="41" t="s">
        <v>64</v>
      </c>
      <c r="C13" s="162">
        <f t="shared" si="1"/>
        <v>4.41</v>
      </c>
      <c r="D13" s="162">
        <f>基础输入数据!$O$14</f>
        <v>0.21</v>
      </c>
      <c r="E13" s="162">
        <f>基础输入数据!$O$14</f>
        <v>0.21</v>
      </c>
      <c r="F13" s="162">
        <f>基础输入数据!$O$14</f>
        <v>0.21</v>
      </c>
      <c r="G13" s="162">
        <f>基础输入数据!$O$14</f>
        <v>0.21</v>
      </c>
      <c r="H13" s="162">
        <f>基础输入数据!$O$14</f>
        <v>0.21</v>
      </c>
      <c r="I13" s="162">
        <f>基础输入数据!$O$14</f>
        <v>0.21</v>
      </c>
      <c r="J13" s="162">
        <f>基础输入数据!$O$14</f>
        <v>0.21</v>
      </c>
      <c r="K13" s="162">
        <f>基础输入数据!$O$14</f>
        <v>0.21</v>
      </c>
      <c r="L13" s="162">
        <f>基础输入数据!$O$14</f>
        <v>0.21</v>
      </c>
      <c r="M13" s="162">
        <f>基础输入数据!$O$14</f>
        <v>0.21</v>
      </c>
      <c r="N13" s="162">
        <f>基础输入数据!$O$14</f>
        <v>0.21</v>
      </c>
      <c r="O13" s="162">
        <f>基础输入数据!$O$14</f>
        <v>0.21</v>
      </c>
      <c r="P13" s="162">
        <f>基础输入数据!$O$14</f>
        <v>0.21</v>
      </c>
      <c r="Q13" s="162">
        <f>基础输入数据!$O$14</f>
        <v>0.21</v>
      </c>
      <c r="R13" s="162">
        <f>基础输入数据!$O$14</f>
        <v>0.21</v>
      </c>
      <c r="S13" s="162">
        <f>基础输入数据!$O$14</f>
        <v>0.21</v>
      </c>
      <c r="T13" s="162">
        <f>基础输入数据!$O$14</f>
        <v>0.21</v>
      </c>
      <c r="U13" s="162">
        <f>基础输入数据!$O$14</f>
        <v>0.21</v>
      </c>
      <c r="V13" s="162">
        <f>基础输入数据!$O$14</f>
        <v>0.21</v>
      </c>
      <c r="W13" s="162">
        <f>基础输入数据!$O$14</f>
        <v>0.21</v>
      </c>
      <c r="X13" s="162">
        <f>基础输入数据!$O$14</f>
        <v>0.21</v>
      </c>
      <c r="Y13" s="162"/>
      <c r="Z13" s="162"/>
      <c r="AA13" s="162"/>
      <c r="AB13" s="162"/>
    </row>
    <row r="14" spans="1:28">
      <c r="A14" s="160">
        <v>2</v>
      </c>
      <c r="B14" s="41" t="s">
        <v>238</v>
      </c>
      <c r="C14" s="161">
        <f t="shared" ref="C14:C17" si="17">SUM(D14:AB14)</f>
        <v>71.5502878536559</v>
      </c>
      <c r="D14" s="161">
        <f>D15</f>
        <v>7.97668323375</v>
      </c>
      <c r="E14" s="161">
        <f t="shared" ref="E14:X14" si="18">E15</f>
        <v>7.61774354344499</v>
      </c>
      <c r="F14" s="161">
        <f t="shared" si="18"/>
        <v>7.23945700383254</v>
      </c>
      <c r="G14" s="161">
        <f t="shared" si="18"/>
        <v>6.84078081973497</v>
      </c>
      <c r="H14" s="161">
        <f t="shared" si="18"/>
        <v>6.42061598931455</v>
      </c>
      <c r="I14" s="161">
        <f t="shared" si="18"/>
        <v>5.97780427453447</v>
      </c>
      <c r="J14" s="161">
        <f t="shared" si="18"/>
        <v>5.51112500832774</v>
      </c>
      <c r="K14" s="161">
        <f t="shared" si="18"/>
        <v>5.01929172967247</v>
      </c>
      <c r="L14" s="161">
        <f t="shared" si="18"/>
        <v>4.50094863729768</v>
      </c>
      <c r="M14" s="161">
        <f t="shared" si="18"/>
        <v>3.95466685224389</v>
      </c>
      <c r="N14" s="161">
        <f t="shared" si="18"/>
        <v>3.37894047897569</v>
      </c>
      <c r="O14" s="161">
        <f t="shared" si="18"/>
        <v>2.77218245418835</v>
      </c>
      <c r="P14" s="161">
        <f t="shared" si="18"/>
        <v>2.13272017186496</v>
      </c>
      <c r="Q14" s="161">
        <f t="shared" si="18"/>
        <v>1.45879087252435</v>
      </c>
      <c r="R14" s="161">
        <f t="shared" si="18"/>
        <v>0.748536783949273</v>
      </c>
      <c r="S14" s="161">
        <f t="shared" si="18"/>
        <v>0</v>
      </c>
      <c r="T14" s="161">
        <f t="shared" si="18"/>
        <v>0</v>
      </c>
      <c r="U14" s="161">
        <f t="shared" si="18"/>
        <v>0</v>
      </c>
      <c r="V14" s="161">
        <f t="shared" si="18"/>
        <v>0</v>
      </c>
      <c r="W14" s="161">
        <f t="shared" si="18"/>
        <v>0</v>
      </c>
      <c r="X14" s="161">
        <f t="shared" si="18"/>
        <v>0</v>
      </c>
      <c r="Y14" s="161"/>
      <c r="Z14" s="161"/>
      <c r="AA14" s="161"/>
      <c r="AB14" s="161"/>
    </row>
    <row r="15" spans="1:28">
      <c r="A15" s="160">
        <v>2.1</v>
      </c>
      <c r="B15" s="41" t="s">
        <v>239</v>
      </c>
      <c r="C15" s="162">
        <f t="shared" si="17"/>
        <v>71.5502878536559</v>
      </c>
      <c r="D15" s="162">
        <f>'表6 还本付息表'!E5</f>
        <v>7.97668323375</v>
      </c>
      <c r="E15" s="162">
        <f>'表6 还本付息表'!F5</f>
        <v>7.61774354344499</v>
      </c>
      <c r="F15" s="162">
        <f>'表6 还本付息表'!G5</f>
        <v>7.23945700383254</v>
      </c>
      <c r="G15" s="162">
        <f>'表6 还本付息表'!H5</f>
        <v>6.84078081973497</v>
      </c>
      <c r="H15" s="162">
        <f>'表6 还本付息表'!I5</f>
        <v>6.42061598931455</v>
      </c>
      <c r="I15" s="162">
        <f>'表6 还本付息表'!J5</f>
        <v>5.97780427453447</v>
      </c>
      <c r="J15" s="162">
        <f>'表6 还本付息表'!K5</f>
        <v>5.51112500832774</v>
      </c>
      <c r="K15" s="162">
        <f>'表6 还本付息表'!L5</f>
        <v>5.01929172967247</v>
      </c>
      <c r="L15" s="162">
        <f>'表6 还本付息表'!M5</f>
        <v>4.50094863729768</v>
      </c>
      <c r="M15" s="162">
        <f>'表6 还本付息表'!N5</f>
        <v>3.95466685224389</v>
      </c>
      <c r="N15" s="162">
        <f>'表6 还本付息表'!O5</f>
        <v>3.37894047897569</v>
      </c>
      <c r="O15" s="162">
        <f>'表6 还本付息表'!P5</f>
        <v>2.77218245418835</v>
      </c>
      <c r="P15" s="162">
        <f>'表6 还本付息表'!Q5</f>
        <v>2.13272017186496</v>
      </c>
      <c r="Q15" s="162">
        <f>'表6 还本付息表'!R5</f>
        <v>1.45879087252435</v>
      </c>
      <c r="R15" s="162">
        <f>'表6 还本付息表'!S5</f>
        <v>0.748536783949273</v>
      </c>
      <c r="S15" s="162">
        <f>'表6 还本付息表'!T5</f>
        <v>0</v>
      </c>
      <c r="T15" s="162">
        <f>'表6 还本付息表'!U5</f>
        <v>0</v>
      </c>
      <c r="U15" s="162">
        <f>'表6 还本付息表'!V5</f>
        <v>0</v>
      </c>
      <c r="V15" s="162">
        <f>'表6 还本付息表'!W5</f>
        <v>0</v>
      </c>
      <c r="W15" s="162">
        <f>'表6 还本付息表'!X5</f>
        <v>0</v>
      </c>
      <c r="X15" s="162">
        <f>'表6 还本付息表'!Y5</f>
        <v>0</v>
      </c>
      <c r="Y15" s="162"/>
      <c r="Z15" s="162"/>
      <c r="AA15" s="162"/>
      <c r="AB15" s="162"/>
    </row>
    <row r="16" spans="1:28">
      <c r="A16" s="160">
        <v>3</v>
      </c>
      <c r="B16" s="163" t="s">
        <v>240</v>
      </c>
      <c r="C16" s="164">
        <f t="shared" si="17"/>
        <v>671.812275925991</v>
      </c>
      <c r="D16" s="164">
        <f>D4+D14</f>
        <v>41.7969811367896</v>
      </c>
      <c r="E16" s="164">
        <f t="shared" ref="E16:X16" si="19">E4+E14</f>
        <v>40.8325178797282</v>
      </c>
      <c r="F16" s="164">
        <f t="shared" si="19"/>
        <v>39.8487077733593</v>
      </c>
      <c r="G16" s="164">
        <f t="shared" si="19"/>
        <v>38.8445080225053</v>
      </c>
      <c r="H16" s="164">
        <f t="shared" si="19"/>
        <v>37.8188196253284</v>
      </c>
      <c r="I16" s="164">
        <f t="shared" si="19"/>
        <v>36.7704843437919</v>
      </c>
      <c r="J16" s="164">
        <f t="shared" si="19"/>
        <v>35.6982815108287</v>
      </c>
      <c r="K16" s="164">
        <f t="shared" si="19"/>
        <v>38.8395896327121</v>
      </c>
      <c r="L16" s="164">
        <f t="shared" si="19"/>
        <v>37.7157229735809</v>
      </c>
      <c r="M16" s="164">
        <f t="shared" si="19"/>
        <v>36.5639176217706</v>
      </c>
      <c r="N16" s="164">
        <f t="shared" si="19"/>
        <v>35.382667681746</v>
      </c>
      <c r="O16" s="164">
        <f t="shared" si="19"/>
        <v>34.1703860902022</v>
      </c>
      <c r="P16" s="164">
        <f t="shared" si="19"/>
        <v>32.9254002411224</v>
      </c>
      <c r="Q16" s="164">
        <f t="shared" si="19"/>
        <v>31.6459473750253</v>
      </c>
      <c r="R16" s="164">
        <f t="shared" si="19"/>
        <v>34.5688346869889</v>
      </c>
      <c r="S16" s="164">
        <f t="shared" si="19"/>
        <v>21.2453938053097</v>
      </c>
      <c r="T16" s="164">
        <f t="shared" si="19"/>
        <v>20.6398702385533</v>
      </c>
      <c r="U16" s="164">
        <f t="shared" si="19"/>
        <v>20.0343466717969</v>
      </c>
      <c r="V16" s="164">
        <f t="shared" si="19"/>
        <v>19.4288231050404</v>
      </c>
      <c r="W16" s="164">
        <f t="shared" si="19"/>
        <v>18.823299538284</v>
      </c>
      <c r="X16" s="164">
        <f t="shared" si="19"/>
        <v>18.2177759715275</v>
      </c>
      <c r="Y16" s="164"/>
      <c r="Z16" s="164"/>
      <c r="AA16" s="164"/>
      <c r="AB16" s="164"/>
    </row>
    <row r="17" ht="15" spans="1:28">
      <c r="A17" s="165">
        <v>4</v>
      </c>
      <c r="B17" s="166" t="s">
        <v>241</v>
      </c>
      <c r="C17" s="167">
        <f t="shared" si="17"/>
        <v>420.721280107734</v>
      </c>
      <c r="D17" s="167">
        <f>D16-D12-D15</f>
        <v>21.8509173720662</v>
      </c>
      <c r="E17" s="167">
        <f t="shared" ref="E17:X17" si="20">E16-E12-E15</f>
        <v>21.2453938053097</v>
      </c>
      <c r="F17" s="167">
        <f t="shared" si="20"/>
        <v>20.6398702385533</v>
      </c>
      <c r="G17" s="167">
        <f t="shared" si="20"/>
        <v>20.0343466717969</v>
      </c>
      <c r="H17" s="167">
        <f t="shared" si="20"/>
        <v>19.4288231050404</v>
      </c>
      <c r="I17" s="167">
        <f t="shared" si="20"/>
        <v>18.823299538284</v>
      </c>
      <c r="J17" s="167">
        <f t="shared" si="20"/>
        <v>18.2177759715275</v>
      </c>
      <c r="K17" s="167">
        <f t="shared" si="20"/>
        <v>21.8509173720662</v>
      </c>
      <c r="L17" s="167">
        <f t="shared" si="20"/>
        <v>21.2453938053097</v>
      </c>
      <c r="M17" s="167">
        <f t="shared" si="20"/>
        <v>20.6398702385533</v>
      </c>
      <c r="N17" s="167">
        <f t="shared" si="20"/>
        <v>20.0343466717968</v>
      </c>
      <c r="O17" s="167">
        <f t="shared" si="20"/>
        <v>19.4288231050404</v>
      </c>
      <c r="P17" s="167">
        <f t="shared" si="20"/>
        <v>18.823299538284</v>
      </c>
      <c r="Q17" s="167">
        <f t="shared" si="20"/>
        <v>18.2177759715275</v>
      </c>
      <c r="R17" s="167">
        <f t="shared" si="20"/>
        <v>21.8509173720662</v>
      </c>
      <c r="S17" s="167">
        <f t="shared" si="20"/>
        <v>21.2453938053097</v>
      </c>
      <c r="T17" s="167">
        <f t="shared" si="20"/>
        <v>20.6398702385533</v>
      </c>
      <c r="U17" s="167">
        <f t="shared" si="20"/>
        <v>20.0343466717969</v>
      </c>
      <c r="V17" s="167">
        <f t="shared" si="20"/>
        <v>19.4288231050404</v>
      </c>
      <c r="W17" s="167">
        <f t="shared" si="20"/>
        <v>18.823299538284</v>
      </c>
      <c r="X17" s="167">
        <f t="shared" si="20"/>
        <v>18.2177759715275</v>
      </c>
      <c r="Y17" s="167"/>
      <c r="Z17" s="167"/>
      <c r="AA17" s="167"/>
      <c r="AB17" s="167"/>
    </row>
    <row r="18" spans="1:28">
      <c r="A18" s="52"/>
      <c r="B18" s="49"/>
      <c r="C18" s="82"/>
      <c r="D18" s="82"/>
      <c r="E18" s="82"/>
      <c r="F18" s="82"/>
      <c r="G18" s="168"/>
      <c r="H18" s="82"/>
      <c r="I18" s="82"/>
      <c r="J18" s="82"/>
      <c r="K18" s="82"/>
      <c r="L18" s="82"/>
      <c r="M18" s="82"/>
      <c r="N18" s="82"/>
      <c r="O18" s="82"/>
      <c r="P18" s="82"/>
      <c r="Q18" s="49"/>
      <c r="R18" s="49"/>
      <c r="S18" s="49"/>
      <c r="T18" s="52"/>
      <c r="U18" s="52"/>
      <c r="V18" s="52"/>
      <c r="W18" s="52"/>
      <c r="X18" s="52"/>
      <c r="Y18" s="52"/>
      <c r="Z18" s="52"/>
      <c r="AA18" s="52"/>
      <c r="AB18" s="52"/>
    </row>
    <row r="21" spans="5:5">
      <c r="E21" s="169"/>
    </row>
    <row r="22" spans="2:8">
      <c r="B22" s="10"/>
      <c r="C22" s="10"/>
      <c r="D22" s="10"/>
      <c r="E22" s="10"/>
      <c r="F22" s="10"/>
      <c r="G22" s="10"/>
      <c r="H22" s="10"/>
    </row>
    <row r="23" spans="2:8">
      <c r="B23" s="10"/>
      <c r="C23" s="10"/>
      <c r="D23" s="10"/>
      <c r="E23" s="10"/>
      <c r="F23" s="10"/>
      <c r="G23" s="10"/>
      <c r="H23" s="10"/>
    </row>
    <row r="24" spans="2:8">
      <c r="B24" s="10"/>
      <c r="C24" s="10"/>
      <c r="D24" s="10"/>
      <c r="E24" s="10"/>
      <c r="F24" s="10"/>
      <c r="G24" s="10"/>
      <c r="H24" s="10"/>
    </row>
    <row r="25" spans="2:8">
      <c r="B25" s="10"/>
      <c r="C25" s="10"/>
      <c r="D25" s="10"/>
      <c r="E25" s="10"/>
      <c r="F25" s="10"/>
      <c r="G25" s="10"/>
      <c r="H25" s="10"/>
    </row>
    <row r="26" spans="2:8">
      <c r="B26" s="10"/>
      <c r="C26" s="10"/>
      <c r="D26" s="10"/>
      <c r="E26" s="10"/>
      <c r="F26" s="10"/>
      <c r="G26" s="10"/>
      <c r="H26" s="10"/>
    </row>
    <row r="27" spans="2:8">
      <c r="B27" s="10"/>
      <c r="C27" s="10"/>
      <c r="D27" s="10"/>
      <c r="E27" s="10"/>
      <c r="F27" s="10"/>
      <c r="G27" s="10"/>
      <c r="H27" s="10"/>
    </row>
    <row r="28" spans="2:8">
      <c r="B28" s="10"/>
      <c r="C28" s="10"/>
      <c r="D28" s="10"/>
      <c r="E28" s="10"/>
      <c r="F28" s="10"/>
      <c r="G28" s="10"/>
      <c r="H28" s="10"/>
    </row>
    <row r="29" spans="2:8">
      <c r="B29" s="10"/>
      <c r="C29" s="10"/>
      <c r="D29" s="10"/>
      <c r="E29" s="10"/>
      <c r="F29" s="10"/>
      <c r="G29" s="10"/>
      <c r="H29" s="10"/>
    </row>
    <row r="30" spans="2:8">
      <c r="B30" s="10"/>
      <c r="C30" s="10"/>
      <c r="D30" s="10"/>
      <c r="E30" s="10"/>
      <c r="F30" s="10"/>
      <c r="G30" s="10"/>
      <c r="H30" s="10"/>
    </row>
    <row r="31" spans="2:8">
      <c r="B31" s="10"/>
      <c r="C31" s="10"/>
      <c r="D31" s="10"/>
      <c r="E31" s="10"/>
      <c r="F31" s="10"/>
      <c r="G31" s="10"/>
      <c r="H31" s="10"/>
    </row>
    <row r="32" spans="2:8">
      <c r="B32" s="10"/>
      <c r="C32" s="10"/>
      <c r="D32" s="10"/>
      <c r="E32" s="10"/>
      <c r="F32" s="10"/>
      <c r="G32" s="10"/>
      <c r="H32" s="10"/>
    </row>
    <row r="33" spans="2:8">
      <c r="B33" s="10"/>
      <c r="C33" s="10"/>
      <c r="D33" s="10"/>
      <c r="E33" s="10"/>
      <c r="F33" s="10"/>
      <c r="G33" s="10"/>
      <c r="H33" s="10"/>
    </row>
    <row r="34" spans="2:8">
      <c r="B34" s="10"/>
      <c r="C34" s="10"/>
      <c r="D34" s="10"/>
      <c r="E34" s="10"/>
      <c r="F34" s="10"/>
      <c r="G34" s="10"/>
      <c r="H34" s="10"/>
    </row>
    <row r="35" spans="2:8">
      <c r="B35" s="11"/>
      <c r="C35" s="12"/>
      <c r="D35" s="12"/>
      <c r="E35" s="12"/>
      <c r="F35" s="12"/>
      <c r="G35" s="12"/>
      <c r="H35" s="12"/>
    </row>
    <row r="36" spans="2:8">
      <c r="B36" s="12"/>
      <c r="C36" s="12"/>
      <c r="D36" s="12"/>
      <c r="E36" s="12"/>
      <c r="F36" s="12"/>
      <c r="G36" s="12"/>
      <c r="H36" s="12"/>
    </row>
    <row r="37" spans="2:8">
      <c r="B37" s="12"/>
      <c r="C37" s="12"/>
      <c r="D37" s="12"/>
      <c r="E37" s="12"/>
      <c r="F37" s="12"/>
      <c r="G37" s="12"/>
      <c r="H37" s="12"/>
    </row>
  </sheetData>
  <sheetProtection selectLockedCells="1" autoFilter="0"/>
  <mergeCells count="4">
    <mergeCell ref="A1:P1"/>
    <mergeCell ref="A2:P2"/>
    <mergeCell ref="B22:H34"/>
    <mergeCell ref="B35:H37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4"/>
  <sheetViews>
    <sheetView topLeftCell="A34" workbookViewId="0">
      <selection activeCell="B62" sqref="B62:H64"/>
    </sheetView>
  </sheetViews>
  <sheetFormatPr defaultColWidth="10" defaultRowHeight="14.25"/>
  <cols>
    <col min="1" max="16384" width="10" style="1"/>
  </cols>
  <sheetData>
    <row r="1" ht="18.75" spans="1:30">
      <c r="A1" s="39" t="s">
        <v>242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51"/>
      <c r="R1" s="51"/>
      <c r="S1" s="51"/>
      <c r="T1" s="51"/>
      <c r="U1" s="51"/>
      <c r="V1" s="51"/>
      <c r="W1" s="51"/>
      <c r="X1" s="69"/>
      <c r="Y1" s="69"/>
      <c r="Z1" s="69"/>
      <c r="AA1" s="69"/>
      <c r="AB1" s="69"/>
      <c r="AC1" s="69"/>
      <c r="AD1" s="69"/>
    </row>
    <row r="2" ht="15" spans="1:30">
      <c r="A2" s="70" t="s">
        <v>215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1:30">
      <c r="A3" s="17" t="s">
        <v>3</v>
      </c>
      <c r="B3" s="18" t="s">
        <v>243</v>
      </c>
      <c r="C3" s="18" t="s">
        <v>102</v>
      </c>
      <c r="D3" s="18" t="s">
        <v>158</v>
      </c>
      <c r="E3" s="18" t="s">
        <v>159</v>
      </c>
      <c r="F3" s="18" t="s">
        <v>160</v>
      </c>
      <c r="G3" s="18" t="s">
        <v>161</v>
      </c>
      <c r="H3" s="18" t="s">
        <v>162</v>
      </c>
      <c r="I3" s="18" t="s">
        <v>163</v>
      </c>
      <c r="J3" s="18" t="s">
        <v>164</v>
      </c>
      <c r="K3" s="18" t="s">
        <v>165</v>
      </c>
      <c r="L3" s="18" t="s">
        <v>166</v>
      </c>
      <c r="M3" s="18" t="s">
        <v>167</v>
      </c>
      <c r="N3" s="18" t="s">
        <v>168</v>
      </c>
      <c r="O3" s="18" t="s">
        <v>169</v>
      </c>
      <c r="P3" s="102" t="s">
        <v>170</v>
      </c>
      <c r="Q3" s="18" t="s">
        <v>171</v>
      </c>
      <c r="R3" s="18" t="s">
        <v>172</v>
      </c>
      <c r="S3" s="18" t="s">
        <v>173</v>
      </c>
      <c r="T3" s="18" t="s">
        <v>174</v>
      </c>
      <c r="U3" s="18" t="s">
        <v>175</v>
      </c>
      <c r="V3" s="18" t="s">
        <v>176</v>
      </c>
      <c r="W3" s="18" t="s">
        <v>177</v>
      </c>
      <c r="X3" s="18" t="s">
        <v>178</v>
      </c>
      <c r="Y3" s="18"/>
      <c r="Z3" s="18"/>
      <c r="AA3" s="18"/>
      <c r="AB3" s="18"/>
      <c r="AC3" s="64"/>
      <c r="AD3" s="64"/>
    </row>
    <row r="4" spans="1:30">
      <c r="A4" s="20"/>
      <c r="B4" s="21"/>
      <c r="C4" s="21"/>
      <c r="D4" s="21">
        <v>1</v>
      </c>
      <c r="E4" s="21">
        <f>D4+1</f>
        <v>2</v>
      </c>
      <c r="F4" s="21">
        <f t="shared" ref="F4:R4" si="0">E4+1</f>
        <v>3</v>
      </c>
      <c r="G4" s="21">
        <f t="shared" si="0"/>
        <v>4</v>
      </c>
      <c r="H4" s="21">
        <f t="shared" si="0"/>
        <v>5</v>
      </c>
      <c r="I4" s="21">
        <f t="shared" si="0"/>
        <v>6</v>
      </c>
      <c r="J4" s="21">
        <f t="shared" si="0"/>
        <v>7</v>
      </c>
      <c r="K4" s="21">
        <f t="shared" si="0"/>
        <v>8</v>
      </c>
      <c r="L4" s="21">
        <f t="shared" si="0"/>
        <v>9</v>
      </c>
      <c r="M4" s="21">
        <f t="shared" si="0"/>
        <v>10</v>
      </c>
      <c r="N4" s="21">
        <f t="shared" si="0"/>
        <v>11</v>
      </c>
      <c r="O4" s="21">
        <f t="shared" si="0"/>
        <v>12</v>
      </c>
      <c r="P4" s="21">
        <f t="shared" si="0"/>
        <v>13</v>
      </c>
      <c r="Q4" s="21">
        <f t="shared" si="0"/>
        <v>14</v>
      </c>
      <c r="R4" s="21">
        <f t="shared" si="0"/>
        <v>15</v>
      </c>
      <c r="S4" s="21">
        <f t="shared" ref="S4" si="1">R4+1</f>
        <v>16</v>
      </c>
      <c r="T4" s="21">
        <f t="shared" ref="T4" si="2">S4+1</f>
        <v>17</v>
      </c>
      <c r="U4" s="21">
        <f t="shared" ref="U4" si="3">T4+1</f>
        <v>18</v>
      </c>
      <c r="V4" s="21">
        <f t="shared" ref="V4" si="4">U4+1</f>
        <v>19</v>
      </c>
      <c r="W4" s="21">
        <f t="shared" ref="W4" si="5">V4+1</f>
        <v>20</v>
      </c>
      <c r="X4" s="21">
        <f t="shared" ref="X4" si="6">W4+1</f>
        <v>21</v>
      </c>
      <c r="Y4" s="21"/>
      <c r="Z4" s="21"/>
      <c r="AA4" s="21"/>
      <c r="AB4" s="21"/>
      <c r="AC4" s="64"/>
      <c r="AD4" s="64"/>
    </row>
    <row r="5" ht="36" spans="1:30">
      <c r="A5" s="151">
        <v>1</v>
      </c>
      <c r="B5" s="152" t="s">
        <v>244</v>
      </c>
      <c r="C5" s="153">
        <f>SUM(D5:AA5)</f>
        <v>881.12822656533</v>
      </c>
      <c r="D5" s="153">
        <f>'表2 营业收入、营业税金及附加估算表'!D5-'表2 营业收入、营业税金及附加估算表'!D26</f>
        <v>45.9375780675394</v>
      </c>
      <c r="E5" s="153">
        <f>'表2 营业收入、营业税金及附加估算表'!E5-'表2 营业收入、营业税金及附加估算表'!E26</f>
        <v>44.6615884506743</v>
      </c>
      <c r="F5" s="153">
        <f>'表2 营业收入、营业税金及附加估算表'!F5-'表2 营业收入、营业税金及附加估算表'!F26</f>
        <v>43.3117949503093</v>
      </c>
      <c r="G5" s="153">
        <f>'表2 营业收入、营业税金及附加估算表'!G5-'表2 营业收入、营业税金及附加估算表'!G26</f>
        <v>41.9620014499443</v>
      </c>
      <c r="H5" s="153">
        <f>'表2 营业收入、营业税金及附加估算表'!H5-'表2 营业收入、营业税金及附加估算表'!H26</f>
        <v>40.6122079495793</v>
      </c>
      <c r="I5" s="153">
        <f>'表2 营业收入、营业税金及附加估算表'!I5-'表2 营业收入、营业税金及附加估算表'!I26</f>
        <v>39.2624144492142</v>
      </c>
      <c r="J5" s="153">
        <f>'表2 营业收入、营业税金及附加估算表'!J5-'表2 营业收入、营业税金及附加估算表'!J26</f>
        <v>37.9126209488492</v>
      </c>
      <c r="K5" s="153">
        <f>'表2 营业收入、营业税金及附加估算表'!K5-'表2 营业收入、营业税金及附加估算表'!K26</f>
        <v>46.0113819510394</v>
      </c>
      <c r="L5" s="153">
        <f>'表2 营业收入、营业税金及附加估算表'!L5-'表2 营业收入、营业税金及附加估算表'!L26</f>
        <v>44.6615884506743</v>
      </c>
      <c r="M5" s="153">
        <f>'表2 营业收入、营业税金及附加估算表'!M5-'表2 营业收入、营业税金及附加估算表'!M26</f>
        <v>43.3117949503093</v>
      </c>
      <c r="N5" s="153">
        <f>'表2 营业收入、营业税金及附加估算表'!N5-'表2 营业收入、营业税金及附加估算表'!N26</f>
        <v>41.9620014499443</v>
      </c>
      <c r="O5" s="153">
        <f>'表2 营业收入、营业税金及附加估算表'!O5-'表2 营业收入、营业税金及附加估算表'!O26</f>
        <v>40.6122079495793</v>
      </c>
      <c r="P5" s="153">
        <f>'表2 营业收入、营业税金及附加估算表'!P5-'表2 营业收入、营业税金及附加估算表'!P26</f>
        <v>39.2624144492142</v>
      </c>
      <c r="Q5" s="153">
        <f>'表2 营业收入、营业税金及附加估算表'!Q5-'表2 营业收入、营业税金及附加估算表'!Q26</f>
        <v>37.9126209488492</v>
      </c>
      <c r="R5" s="153">
        <f>'表2 营业收入、营业税金及附加估算表'!R5-'表2 营业收入、营业税金及附加估算表'!R26</f>
        <v>46.0113819510394</v>
      </c>
      <c r="S5" s="153">
        <f>'表2 营业收入、营业税金及附加估算表'!S5-'表2 营业收入、营业税金及附加估算表'!S26</f>
        <v>44.6615884506743</v>
      </c>
      <c r="T5" s="153">
        <f>'表2 营业收入、营业税金及附加估算表'!T5-'表2 营业收入、营业税金及附加估算表'!T26</f>
        <v>43.3117949503093</v>
      </c>
      <c r="U5" s="153">
        <f>'表2 营业收入、营业税金及附加估算表'!U5-'表2 营业收入、营业税金及附加估算表'!U26</f>
        <v>41.9620014499443</v>
      </c>
      <c r="V5" s="153">
        <f>'表2 营业收入、营业税金及附加估算表'!V5-'表2 营业收入、营业税金及附加估算表'!V26</f>
        <v>40.6122079495793</v>
      </c>
      <c r="W5" s="153">
        <f>'表2 营业收入、营业税金及附加估算表'!W5-'表2 营业收入、营业税金及附加估算表'!W26</f>
        <v>39.2624144492142</v>
      </c>
      <c r="X5" s="153">
        <f>'表2 营业收入、营业税金及附加估算表'!X5-'表2 营业收入、营业税金及附加估算表'!X26</f>
        <v>37.9126209488492</v>
      </c>
      <c r="Y5" s="153"/>
      <c r="Z5" s="153"/>
      <c r="AA5" s="153"/>
      <c r="AB5" s="153"/>
      <c r="AC5" s="101"/>
      <c r="AD5" s="101"/>
    </row>
    <row r="6" ht="24" spans="1:30">
      <c r="A6" s="151">
        <v>2</v>
      </c>
      <c r="B6" s="24" t="s">
        <v>207</v>
      </c>
      <c r="C6" s="153">
        <f>SUM(D6:AA6)</f>
        <v>9.34473183698761</v>
      </c>
      <c r="D6" s="153">
        <f>'表2 营业收入、营业税金及附加估算表'!D19</f>
        <v>0</v>
      </c>
      <c r="E6" s="153">
        <f>'表2 营业收入、营业税金及附加估算表'!E19</f>
        <v>0</v>
      </c>
      <c r="F6" s="153">
        <f>'表2 营业收入、营业税金及附加估算表'!F19</f>
        <v>0</v>
      </c>
      <c r="G6" s="153">
        <f>'表2 营业收入、营业税金及附加估算表'!G19</f>
        <v>0</v>
      </c>
      <c r="H6" s="153">
        <f>'表2 营业收入、营业税金及附加估算表'!H19</f>
        <v>0.474300969942478</v>
      </c>
      <c r="I6" s="153">
        <f>'表2 营业收入、营业税金及附加估算表'!I19</f>
        <v>0.524002364968142</v>
      </c>
      <c r="J6" s="153">
        <f>'表2 营业收入、营业税金及附加估算表'!J19</f>
        <v>0.505987808392036</v>
      </c>
      <c r="K6" s="153">
        <f>'表2 营业收入、营业税金及附加估算表'!K19</f>
        <v>0.614075147848673</v>
      </c>
      <c r="L6" s="153">
        <f>'表2 营业收入、营业税金及附加估算表'!L19</f>
        <v>0.596060591272566</v>
      </c>
      <c r="M6" s="153">
        <f>'表2 营业收入、营业税金及附加估算表'!M19</f>
        <v>0.57804603469646</v>
      </c>
      <c r="N6" s="153">
        <f>'表2 营业收入、营业税金及附加估算表'!N19</f>
        <v>0.560031478120354</v>
      </c>
      <c r="O6" s="153">
        <f>'表2 营业收入、营业税金及附加估算表'!O19</f>
        <v>0.542016921544248</v>
      </c>
      <c r="P6" s="153">
        <f>'表2 营业收入、营业税金及附加估算表'!P19</f>
        <v>0.524002364968142</v>
      </c>
      <c r="Q6" s="153">
        <f>'表2 营业收入、营业税金及附加估算表'!Q19</f>
        <v>0.505987808392036</v>
      </c>
      <c r="R6" s="153">
        <f>'表2 营业收入、营业税金及附加估算表'!R19</f>
        <v>0.614075147848673</v>
      </c>
      <c r="S6" s="153">
        <f>'表2 营业收入、营业税金及附加估算表'!S19</f>
        <v>0.596060591272566</v>
      </c>
      <c r="T6" s="153">
        <f>'表2 营业收入、营业税金及附加估算表'!T19</f>
        <v>0.57804603469646</v>
      </c>
      <c r="U6" s="153">
        <f>'表2 营业收入、营业税金及附加估算表'!U19</f>
        <v>0.560031478120354</v>
      </c>
      <c r="V6" s="153">
        <f>'表2 营业收入、营业税金及附加估算表'!V19</f>
        <v>0.542016921544248</v>
      </c>
      <c r="W6" s="153">
        <f>'表2 营业收入、营业税金及附加估算表'!W19</f>
        <v>0.524002364968142</v>
      </c>
      <c r="X6" s="153">
        <f>'表2 营业收入、营业税金及附加估算表'!X19</f>
        <v>0.505987808392036</v>
      </c>
      <c r="Y6" s="153"/>
      <c r="Z6" s="153"/>
      <c r="AA6" s="153"/>
      <c r="AB6" s="153"/>
      <c r="AC6" s="101"/>
      <c r="AD6" s="101"/>
    </row>
    <row r="7" spans="1:30">
      <c r="A7" s="151">
        <v>3</v>
      </c>
      <c r="B7" s="24" t="s">
        <v>41</v>
      </c>
      <c r="C7" s="153">
        <f t="shared" ref="C7:C21" si="7">SUM(D7:AA7)</f>
        <v>671.812275925991</v>
      </c>
      <c r="D7" s="153">
        <f>'表4 总成本费用估算表'!D16</f>
        <v>41.7969811367896</v>
      </c>
      <c r="E7" s="153">
        <f>'表4 总成本费用估算表'!E16</f>
        <v>40.8325178797282</v>
      </c>
      <c r="F7" s="153">
        <f>'表4 总成本费用估算表'!F16</f>
        <v>39.8487077733593</v>
      </c>
      <c r="G7" s="153">
        <f>'表4 总成本费用估算表'!G16</f>
        <v>38.8445080225053</v>
      </c>
      <c r="H7" s="153">
        <f>'表4 总成本费用估算表'!H16</f>
        <v>37.8188196253284</v>
      </c>
      <c r="I7" s="153">
        <f>'表4 总成本费用估算表'!I16</f>
        <v>36.7704843437919</v>
      </c>
      <c r="J7" s="153">
        <f>'表4 总成本费用估算表'!J16</f>
        <v>35.6982815108287</v>
      </c>
      <c r="K7" s="153">
        <f>'表4 总成本费用估算表'!K16</f>
        <v>38.8395896327121</v>
      </c>
      <c r="L7" s="153">
        <f>'表4 总成本费用估算表'!L16</f>
        <v>37.7157229735809</v>
      </c>
      <c r="M7" s="153">
        <f>'表4 总成本费用估算表'!M16</f>
        <v>36.5639176217706</v>
      </c>
      <c r="N7" s="153">
        <f>'表4 总成本费用估算表'!N16</f>
        <v>35.382667681746</v>
      </c>
      <c r="O7" s="153">
        <f>'表4 总成本费用估算表'!O16</f>
        <v>34.1703860902022</v>
      </c>
      <c r="P7" s="153">
        <f>'表4 总成本费用估算表'!P16</f>
        <v>32.9254002411224</v>
      </c>
      <c r="Q7" s="153">
        <f>'表4 总成本费用估算表'!Q16</f>
        <v>31.6459473750253</v>
      </c>
      <c r="R7" s="153">
        <f>'表4 总成本费用估算表'!R16</f>
        <v>34.5688346869889</v>
      </c>
      <c r="S7" s="153">
        <f>'表4 总成本费用估算表'!S16</f>
        <v>21.2453938053097</v>
      </c>
      <c r="T7" s="153">
        <f>'表4 总成本费用估算表'!T16</f>
        <v>20.6398702385533</v>
      </c>
      <c r="U7" s="153">
        <f>'表4 总成本费用估算表'!U16</f>
        <v>20.0343466717969</v>
      </c>
      <c r="V7" s="153">
        <f>'表4 总成本费用估算表'!V16</f>
        <v>19.4288231050404</v>
      </c>
      <c r="W7" s="153">
        <f>'表4 总成本费用估算表'!W16</f>
        <v>18.823299538284</v>
      </c>
      <c r="X7" s="153">
        <f>'表4 总成本费用估算表'!X16</f>
        <v>18.2177759715275</v>
      </c>
      <c r="Y7" s="153"/>
      <c r="Z7" s="153"/>
      <c r="AA7" s="153"/>
      <c r="AB7" s="153"/>
      <c r="AC7" s="101"/>
      <c r="AD7" s="101"/>
    </row>
    <row r="8" spans="1:30">
      <c r="A8" s="151">
        <v>5</v>
      </c>
      <c r="B8" s="24" t="s">
        <v>45</v>
      </c>
      <c r="C8" s="153">
        <f t="shared" si="7"/>
        <v>199.971218802351</v>
      </c>
      <c r="D8" s="153">
        <f>D5-D6-D7</f>
        <v>4.14059693074973</v>
      </c>
      <c r="E8" s="153">
        <f t="shared" ref="E8:L8" si="8">E5-E6-E7</f>
        <v>3.82907057094616</v>
      </c>
      <c r="F8" s="153">
        <f t="shared" si="8"/>
        <v>3.46308717695005</v>
      </c>
      <c r="G8" s="153">
        <f t="shared" si="8"/>
        <v>3.11749342743902</v>
      </c>
      <c r="H8" s="153">
        <f t="shared" si="8"/>
        <v>2.31908735430838</v>
      </c>
      <c r="I8" s="153">
        <f t="shared" si="8"/>
        <v>1.96792774045421</v>
      </c>
      <c r="J8" s="153">
        <f t="shared" si="8"/>
        <v>1.70835162962848</v>
      </c>
      <c r="K8" s="153">
        <f t="shared" si="8"/>
        <v>6.55771717047859</v>
      </c>
      <c r="L8" s="153">
        <f t="shared" si="8"/>
        <v>6.34980488582091</v>
      </c>
      <c r="M8" s="153">
        <f t="shared" ref="M8:X8" si="9">M5-M6-M7</f>
        <v>6.16983129384223</v>
      </c>
      <c r="N8" s="153">
        <f t="shared" si="9"/>
        <v>6.01930229007795</v>
      </c>
      <c r="O8" s="153">
        <f t="shared" si="9"/>
        <v>5.89980493783281</v>
      </c>
      <c r="P8" s="153">
        <f t="shared" si="9"/>
        <v>5.81301184312372</v>
      </c>
      <c r="Q8" s="153">
        <f t="shared" si="9"/>
        <v>5.76068576543187</v>
      </c>
      <c r="R8" s="153">
        <f t="shared" si="9"/>
        <v>10.8284721162018</v>
      </c>
      <c r="S8" s="153">
        <f t="shared" si="9"/>
        <v>22.820134054092</v>
      </c>
      <c r="T8" s="153">
        <f t="shared" si="9"/>
        <v>22.0938786770596</v>
      </c>
      <c r="U8" s="153">
        <f t="shared" si="9"/>
        <v>21.3676233000271</v>
      </c>
      <c r="V8" s="153">
        <f t="shared" si="9"/>
        <v>20.6413679229946</v>
      </c>
      <c r="W8" s="153">
        <f t="shared" si="9"/>
        <v>19.9151125459621</v>
      </c>
      <c r="X8" s="153">
        <f t="shared" si="9"/>
        <v>19.1888571689297</v>
      </c>
      <c r="Y8" s="153"/>
      <c r="Z8" s="153"/>
      <c r="AA8" s="153"/>
      <c r="AB8" s="153"/>
      <c r="AC8" s="101"/>
      <c r="AD8" s="101"/>
    </row>
    <row r="9" ht="24" spans="1:30">
      <c r="A9" s="151">
        <v>7</v>
      </c>
      <c r="B9" s="24" t="s">
        <v>245</v>
      </c>
      <c r="C9" s="153">
        <f t="shared" si="7"/>
        <v>199.971218802351</v>
      </c>
      <c r="D9" s="153">
        <f>D8</f>
        <v>4.14059693074973</v>
      </c>
      <c r="E9" s="153">
        <f t="shared" ref="E9:L9" si="10">E8</f>
        <v>3.82907057094616</v>
      </c>
      <c r="F9" s="153">
        <f t="shared" si="10"/>
        <v>3.46308717695005</v>
      </c>
      <c r="G9" s="153">
        <f t="shared" si="10"/>
        <v>3.11749342743902</v>
      </c>
      <c r="H9" s="153">
        <f t="shared" si="10"/>
        <v>2.31908735430838</v>
      </c>
      <c r="I9" s="153">
        <f t="shared" si="10"/>
        <v>1.96792774045421</v>
      </c>
      <c r="J9" s="153">
        <f t="shared" si="10"/>
        <v>1.70835162962848</v>
      </c>
      <c r="K9" s="153">
        <f t="shared" si="10"/>
        <v>6.55771717047859</v>
      </c>
      <c r="L9" s="153">
        <f t="shared" si="10"/>
        <v>6.34980488582091</v>
      </c>
      <c r="M9" s="153">
        <f t="shared" ref="M9:X9" si="11">M8</f>
        <v>6.16983129384223</v>
      </c>
      <c r="N9" s="153">
        <f t="shared" si="11"/>
        <v>6.01930229007795</v>
      </c>
      <c r="O9" s="153">
        <f t="shared" si="11"/>
        <v>5.89980493783281</v>
      </c>
      <c r="P9" s="153">
        <f t="shared" si="11"/>
        <v>5.81301184312372</v>
      </c>
      <c r="Q9" s="153">
        <f t="shared" si="11"/>
        <v>5.76068576543187</v>
      </c>
      <c r="R9" s="153">
        <f t="shared" si="11"/>
        <v>10.8284721162018</v>
      </c>
      <c r="S9" s="153">
        <f t="shared" si="11"/>
        <v>22.820134054092</v>
      </c>
      <c r="T9" s="153">
        <f t="shared" si="11"/>
        <v>22.0938786770596</v>
      </c>
      <c r="U9" s="153">
        <f t="shared" si="11"/>
        <v>21.3676233000271</v>
      </c>
      <c r="V9" s="153">
        <f t="shared" si="11"/>
        <v>20.6413679229946</v>
      </c>
      <c r="W9" s="153">
        <f t="shared" si="11"/>
        <v>19.9151125459621</v>
      </c>
      <c r="X9" s="153">
        <f t="shared" si="11"/>
        <v>19.1888571689297</v>
      </c>
      <c r="Y9" s="153"/>
      <c r="Z9" s="153"/>
      <c r="AA9" s="153"/>
      <c r="AB9" s="153"/>
      <c r="AC9" s="101"/>
      <c r="AD9" s="101"/>
    </row>
    <row r="10" spans="1:30">
      <c r="A10" s="151">
        <v>8</v>
      </c>
      <c r="B10" s="24" t="s">
        <v>246</v>
      </c>
      <c r="C10" s="153">
        <f t="shared" si="7"/>
        <v>49.9928047005877</v>
      </c>
      <c r="D10" s="154">
        <f>D9*基础输入数据!$K$13</f>
        <v>1.03514923268743</v>
      </c>
      <c r="E10" s="154">
        <f>E9*基础输入数据!$K$13</f>
        <v>0.957267642736541</v>
      </c>
      <c r="F10" s="154">
        <f>F9*基础输入数据!$K$13</f>
        <v>0.865771794237512</v>
      </c>
      <c r="G10" s="154">
        <f>G9*基础输入数据!$K$13</f>
        <v>0.779373356859754</v>
      </c>
      <c r="H10" s="154">
        <f>H9*基础输入数据!$K$13</f>
        <v>0.579771838577095</v>
      </c>
      <c r="I10" s="154">
        <f>I9*基础输入数据!$K$13</f>
        <v>0.491981935113554</v>
      </c>
      <c r="J10" s="154">
        <f>J9*基础输入数据!$K$13</f>
        <v>0.42708790740712</v>
      </c>
      <c r="K10" s="154">
        <f>K9*基础输入数据!$K$13</f>
        <v>1.63942929261965</v>
      </c>
      <c r="L10" s="154">
        <f>L9*基础输入数据!$K$13</f>
        <v>1.58745122145523</v>
      </c>
      <c r="M10" s="154">
        <f>M9*基础输入数据!$K$13</f>
        <v>1.54245782346056</v>
      </c>
      <c r="N10" s="154">
        <f>N9*基础输入数据!$K$13</f>
        <v>1.50482557251949</v>
      </c>
      <c r="O10" s="154">
        <f>O9*基础输入数据!$K$13</f>
        <v>1.4749512344582</v>
      </c>
      <c r="P10" s="154">
        <f>P9*基础输入数据!$K$13</f>
        <v>1.45325296078093</v>
      </c>
      <c r="Q10" s="154">
        <f>Q9*基础输入数据!$K$13</f>
        <v>1.44017144135797</v>
      </c>
      <c r="R10" s="154">
        <f>R9*基础输入数据!$K$13</f>
        <v>2.70711802905045</v>
      </c>
      <c r="S10" s="154">
        <f>S9*基础输入数据!$K$13</f>
        <v>5.70503351352301</v>
      </c>
      <c r="T10" s="154">
        <f>T9*基础输入数据!$K$13</f>
        <v>5.52346966926489</v>
      </c>
      <c r="U10" s="154">
        <f>U9*基础输入数据!$K$13</f>
        <v>5.34190582500677</v>
      </c>
      <c r="V10" s="154">
        <f>V9*基础输入数据!$K$13</f>
        <v>5.16034198074865</v>
      </c>
      <c r="W10" s="154">
        <f>W9*基础输入数据!$K$13</f>
        <v>4.97877813649053</v>
      </c>
      <c r="X10" s="154">
        <f>X9*基础输入数据!$K$13</f>
        <v>4.79721429223242</v>
      </c>
      <c r="Y10" s="154"/>
      <c r="Z10" s="154"/>
      <c r="AA10" s="154"/>
      <c r="AB10" s="154"/>
      <c r="AC10" s="101"/>
      <c r="AD10" s="101"/>
    </row>
    <row r="11" spans="1:30">
      <c r="A11" s="151">
        <v>9</v>
      </c>
      <c r="B11" s="24" t="s">
        <v>247</v>
      </c>
      <c r="C11" s="153">
        <f t="shared" si="7"/>
        <v>149.978414101763</v>
      </c>
      <c r="D11" s="153">
        <f>D8-D10</f>
        <v>3.1054476980623</v>
      </c>
      <c r="E11" s="153">
        <f t="shared" ref="E11:L11" si="12">E8-E10</f>
        <v>2.87180292820962</v>
      </c>
      <c r="F11" s="153">
        <f t="shared" si="12"/>
        <v>2.59731538271254</v>
      </c>
      <c r="G11" s="153">
        <f t="shared" si="12"/>
        <v>2.33812007057926</v>
      </c>
      <c r="H11" s="153">
        <f t="shared" si="12"/>
        <v>1.73931551573128</v>
      </c>
      <c r="I11" s="153">
        <f t="shared" si="12"/>
        <v>1.47594580534066</v>
      </c>
      <c r="J11" s="153">
        <f t="shared" si="12"/>
        <v>1.28126372222136</v>
      </c>
      <c r="K11" s="153">
        <f t="shared" si="12"/>
        <v>4.91828787785894</v>
      </c>
      <c r="L11" s="153">
        <f t="shared" si="12"/>
        <v>4.76235366436568</v>
      </c>
      <c r="M11" s="153">
        <f t="shared" ref="M11:X11" si="13">M8-M10</f>
        <v>4.62737347038167</v>
      </c>
      <c r="N11" s="153">
        <f t="shared" si="13"/>
        <v>4.51447671755846</v>
      </c>
      <c r="O11" s="153">
        <f t="shared" si="13"/>
        <v>4.42485370337461</v>
      </c>
      <c r="P11" s="153">
        <f t="shared" si="13"/>
        <v>4.35975888234279</v>
      </c>
      <c r="Q11" s="153">
        <f t="shared" si="13"/>
        <v>4.3205143240739</v>
      </c>
      <c r="R11" s="153">
        <f t="shared" si="13"/>
        <v>8.12135408715134</v>
      </c>
      <c r="S11" s="153">
        <f t="shared" si="13"/>
        <v>17.115100540569</v>
      </c>
      <c r="T11" s="153">
        <f t="shared" si="13"/>
        <v>16.5704090077947</v>
      </c>
      <c r="U11" s="153">
        <f t="shared" si="13"/>
        <v>16.0257174750203</v>
      </c>
      <c r="V11" s="153">
        <f t="shared" si="13"/>
        <v>15.481025942246</v>
      </c>
      <c r="W11" s="153">
        <f t="shared" si="13"/>
        <v>14.9363344094716</v>
      </c>
      <c r="X11" s="153">
        <f t="shared" si="13"/>
        <v>14.3916428766973</v>
      </c>
      <c r="Y11" s="153"/>
      <c r="Z11" s="153"/>
      <c r="AA11" s="153"/>
      <c r="AB11" s="153"/>
      <c r="AC11" s="101"/>
      <c r="AD11" s="101"/>
    </row>
    <row r="12" ht="24" spans="1:30">
      <c r="A12" s="151">
        <v>10</v>
      </c>
      <c r="B12" s="24" t="s">
        <v>248</v>
      </c>
      <c r="C12" s="153">
        <f t="shared" si="7"/>
        <v>529.956527990161</v>
      </c>
      <c r="D12" s="153">
        <v>0</v>
      </c>
      <c r="E12" s="153">
        <f t="shared" ref="E12:X12" si="14">D19</f>
        <v>2.79490292825607</v>
      </c>
      <c r="F12" s="153">
        <f t="shared" si="14"/>
        <v>5.10003527081912</v>
      </c>
      <c r="G12" s="153">
        <f t="shared" si="14"/>
        <v>6.92761558817849</v>
      </c>
      <c r="H12" s="153">
        <f t="shared" si="14"/>
        <v>8.33916209288198</v>
      </c>
      <c r="I12" s="153">
        <f t="shared" si="14"/>
        <v>9.07062984775194</v>
      </c>
      <c r="J12" s="153">
        <f t="shared" si="14"/>
        <v>9.49191808778334</v>
      </c>
      <c r="K12" s="153">
        <f t="shared" si="14"/>
        <v>9.69586362900423</v>
      </c>
      <c r="L12" s="153">
        <f t="shared" si="14"/>
        <v>13.1527363561769</v>
      </c>
      <c r="M12" s="153">
        <f t="shared" si="14"/>
        <v>16.1235810184883</v>
      </c>
      <c r="N12" s="153">
        <f t="shared" si="14"/>
        <v>18.675859039983</v>
      </c>
      <c r="O12" s="153">
        <f t="shared" si="14"/>
        <v>20.8713021817873</v>
      </c>
      <c r="P12" s="153">
        <f t="shared" si="14"/>
        <v>22.7665402966457</v>
      </c>
      <c r="Q12" s="153">
        <f t="shared" si="14"/>
        <v>24.4136692610896</v>
      </c>
      <c r="R12" s="153">
        <f t="shared" si="14"/>
        <v>25.8607652266472</v>
      </c>
      <c r="S12" s="153">
        <f t="shared" si="14"/>
        <v>30.5839073824187</v>
      </c>
      <c r="T12" s="153">
        <f t="shared" si="14"/>
        <v>42.9291071306889</v>
      </c>
      <c r="U12" s="153">
        <f t="shared" si="14"/>
        <v>53.5495645246352</v>
      </c>
      <c r="V12" s="153">
        <f t="shared" si="14"/>
        <v>62.61775379969</v>
      </c>
      <c r="W12" s="153">
        <f t="shared" si="14"/>
        <v>70.2889017677424</v>
      </c>
      <c r="X12" s="153">
        <f t="shared" si="14"/>
        <v>76.7027125594926</v>
      </c>
      <c r="Y12" s="153"/>
      <c r="Z12" s="153"/>
      <c r="AA12" s="153"/>
      <c r="AB12" s="153"/>
      <c r="AC12" s="101"/>
      <c r="AD12" s="101"/>
    </row>
    <row r="13" ht="24" spans="1:30">
      <c r="A13" s="151">
        <v>11</v>
      </c>
      <c r="B13" s="24" t="s">
        <v>249</v>
      </c>
      <c r="C13" s="153">
        <f t="shared" si="7"/>
        <v>679.934942091924</v>
      </c>
      <c r="D13" s="153">
        <f>D12+D11</f>
        <v>3.1054476980623</v>
      </c>
      <c r="E13" s="153">
        <f t="shared" ref="E13:L13" si="15">E12+E11</f>
        <v>5.66670585646569</v>
      </c>
      <c r="F13" s="153">
        <f t="shared" si="15"/>
        <v>7.69735065353166</v>
      </c>
      <c r="G13" s="153">
        <f t="shared" si="15"/>
        <v>9.26573565875775</v>
      </c>
      <c r="H13" s="153">
        <f t="shared" si="15"/>
        <v>10.0784776086133</v>
      </c>
      <c r="I13" s="153">
        <f t="shared" si="15"/>
        <v>10.5465756530926</v>
      </c>
      <c r="J13" s="153">
        <f t="shared" si="15"/>
        <v>10.7731818100047</v>
      </c>
      <c r="K13" s="153">
        <f t="shared" si="15"/>
        <v>14.6141515068632</v>
      </c>
      <c r="L13" s="153">
        <f t="shared" si="15"/>
        <v>17.9150900205425</v>
      </c>
      <c r="M13" s="153">
        <f t="shared" ref="M13:X13" si="16">M12+M11</f>
        <v>20.75095448887</v>
      </c>
      <c r="N13" s="153">
        <f t="shared" si="16"/>
        <v>23.1903357575414</v>
      </c>
      <c r="O13" s="153">
        <f t="shared" si="16"/>
        <v>25.2961558851619</v>
      </c>
      <c r="P13" s="153">
        <f t="shared" si="16"/>
        <v>27.1262991789885</v>
      </c>
      <c r="Q13" s="153">
        <f t="shared" si="16"/>
        <v>28.7341835851635</v>
      </c>
      <c r="R13" s="153">
        <f t="shared" si="16"/>
        <v>33.9821193137985</v>
      </c>
      <c r="S13" s="153">
        <f t="shared" si="16"/>
        <v>47.6990079229877</v>
      </c>
      <c r="T13" s="153">
        <f t="shared" si="16"/>
        <v>59.4995161384836</v>
      </c>
      <c r="U13" s="153">
        <f t="shared" si="16"/>
        <v>69.5752819996555</v>
      </c>
      <c r="V13" s="153">
        <f t="shared" si="16"/>
        <v>78.098779741936</v>
      </c>
      <c r="W13" s="153">
        <f t="shared" si="16"/>
        <v>85.225236177214</v>
      </c>
      <c r="X13" s="153">
        <f t="shared" si="16"/>
        <v>91.0943554361898</v>
      </c>
      <c r="Y13" s="153"/>
      <c r="Z13" s="153"/>
      <c r="AA13" s="153"/>
      <c r="AB13" s="153"/>
      <c r="AC13" s="101"/>
      <c r="AD13" s="101"/>
    </row>
    <row r="14" ht="24" spans="1:30">
      <c r="A14" s="151">
        <v>12</v>
      </c>
      <c r="B14" s="24" t="s">
        <v>250</v>
      </c>
      <c r="C14" s="153">
        <f t="shared" si="7"/>
        <v>67.9934942091924</v>
      </c>
      <c r="D14" s="154">
        <f>IF(D13*基础输入数据!$K$17&gt;0,D13*基础输入数据!$K$17,0)</f>
        <v>0.31054476980623</v>
      </c>
      <c r="E14" s="154">
        <f>IF(E13*基础输入数据!$K$17&gt;0,E13*基础输入数据!$K$17,0)</f>
        <v>0.566670585646569</v>
      </c>
      <c r="F14" s="154">
        <f>IF(F13*基础输入数据!$K$17&gt;0,F13*基础输入数据!$K$17,0)</f>
        <v>0.769735065353166</v>
      </c>
      <c r="G14" s="154">
        <f>IF(G13*基础输入数据!$K$17&gt;0,G13*基础输入数据!$K$17,0)</f>
        <v>0.926573565875775</v>
      </c>
      <c r="H14" s="154">
        <f>IF(H13*基础输入数据!$K$17&gt;0,H13*基础输入数据!$K$17,0)</f>
        <v>1.00784776086133</v>
      </c>
      <c r="I14" s="154">
        <f>IF(I13*基础输入数据!$K$17&gt;0,I13*基础输入数据!$K$17,0)</f>
        <v>1.05465756530926</v>
      </c>
      <c r="J14" s="154">
        <f>IF(J13*基础输入数据!$K$17&gt;0,J13*基础输入数据!$K$17,0)</f>
        <v>1.07731818100047</v>
      </c>
      <c r="K14" s="154">
        <f>IF(K13*基础输入数据!$K$17&gt;0,K13*基础输入数据!$K$17,0)</f>
        <v>1.46141515068632</v>
      </c>
      <c r="L14" s="154">
        <f>IF(L13*基础输入数据!$K$17&gt;0,L13*基础输入数据!$K$17,0)</f>
        <v>1.79150900205425</v>
      </c>
      <c r="M14" s="154">
        <f>IF(M13*基础输入数据!$K$17&gt;0,M13*基础输入数据!$K$17,0)</f>
        <v>2.075095448887</v>
      </c>
      <c r="N14" s="154">
        <f>IF(N13*基础输入数据!$K$17&gt;0,N13*基础输入数据!$K$17,0)</f>
        <v>2.31903357575414</v>
      </c>
      <c r="O14" s="154">
        <f>IF(O13*基础输入数据!$K$17&gt;0,O13*基础输入数据!$K$17,0)</f>
        <v>2.52961558851619</v>
      </c>
      <c r="P14" s="154">
        <f>IF(P13*基础输入数据!$K$17&gt;0,P13*基础输入数据!$K$17,0)</f>
        <v>2.71262991789885</v>
      </c>
      <c r="Q14" s="154">
        <f>IF(Q13*基础输入数据!$K$17&gt;0,Q13*基础输入数据!$K$17,0)</f>
        <v>2.87341835851635</v>
      </c>
      <c r="R14" s="154">
        <f>IF(R13*基础输入数据!$K$17&gt;0,R13*基础输入数据!$K$17,0)</f>
        <v>3.39821193137985</v>
      </c>
      <c r="S14" s="154">
        <f>IF(S13*基础输入数据!$K$17&gt;0,S13*基础输入数据!$K$17,0)</f>
        <v>4.76990079229877</v>
      </c>
      <c r="T14" s="154">
        <f>IF(T13*基础输入数据!$K$17&gt;0,T13*基础输入数据!$K$17,0)</f>
        <v>5.94995161384836</v>
      </c>
      <c r="U14" s="154">
        <f>IF(U13*基础输入数据!$K$17&gt;0,U13*基础输入数据!$K$17,0)</f>
        <v>6.95752819996556</v>
      </c>
      <c r="V14" s="154">
        <f>IF(V13*基础输入数据!$K$17&gt;0,V13*基础输入数据!$K$17,0)</f>
        <v>7.8098779741936</v>
      </c>
      <c r="W14" s="154">
        <f>IF(W13*基础输入数据!$K$17&gt;0,W13*基础输入数据!$K$17,0)</f>
        <v>8.5225236177214</v>
      </c>
      <c r="X14" s="154">
        <f>IF(X13*基础输入数据!$K$17&gt;0,X13*基础输入数据!$K$17,0)</f>
        <v>9.10943554361898</v>
      </c>
      <c r="Y14" s="154"/>
      <c r="Z14" s="154"/>
      <c r="AA14" s="154"/>
      <c r="AB14" s="154"/>
      <c r="AC14" s="101"/>
      <c r="AD14" s="101"/>
    </row>
    <row r="15" ht="24" spans="1:30">
      <c r="A15" s="151">
        <v>13</v>
      </c>
      <c r="B15" s="24" t="s">
        <v>251</v>
      </c>
      <c r="C15" s="153">
        <f t="shared" si="7"/>
        <v>220.134852260232</v>
      </c>
      <c r="D15" s="153">
        <f>D14</f>
        <v>0.31054476980623</v>
      </c>
      <c r="E15" s="153">
        <f>D15+E14</f>
        <v>0.877215355452799</v>
      </c>
      <c r="F15" s="153">
        <f t="shared" ref="F15:K15" si="17">E15+F14</f>
        <v>1.64695042080596</v>
      </c>
      <c r="G15" s="153">
        <f t="shared" si="17"/>
        <v>2.57352398668174</v>
      </c>
      <c r="H15" s="153">
        <f t="shared" si="17"/>
        <v>3.58137174754307</v>
      </c>
      <c r="I15" s="153">
        <f t="shared" si="17"/>
        <v>4.63602931285233</v>
      </c>
      <c r="J15" s="153">
        <f t="shared" si="17"/>
        <v>5.7133474938528</v>
      </c>
      <c r="K15" s="153">
        <f t="shared" si="17"/>
        <v>7.17476264453911</v>
      </c>
      <c r="L15" s="153">
        <f t="shared" ref="L15" si="18">L14</f>
        <v>1.79150900205425</v>
      </c>
      <c r="M15" s="153">
        <f t="shared" ref="M15" si="19">L15+M14</f>
        <v>3.86660445094125</v>
      </c>
      <c r="N15" s="153">
        <f t="shared" ref="N15" si="20">M15+N14</f>
        <v>6.18563802669539</v>
      </c>
      <c r="O15" s="153">
        <f t="shared" ref="O15" si="21">N15+O14</f>
        <v>8.71525361521158</v>
      </c>
      <c r="P15" s="153">
        <f t="shared" ref="P15" si="22">O15+P14</f>
        <v>11.4278835331104</v>
      </c>
      <c r="Q15" s="153">
        <f t="shared" ref="Q15" si="23">P15+Q14</f>
        <v>14.3013018916268</v>
      </c>
      <c r="R15" s="153">
        <f t="shared" ref="R15" si="24">Q15+R14</f>
        <v>17.6995138230066</v>
      </c>
      <c r="S15" s="153">
        <f t="shared" ref="S15" si="25">R15+S14</f>
        <v>22.4694146153054</v>
      </c>
      <c r="T15" s="153">
        <f t="shared" ref="T15" si="26">T14</f>
        <v>5.94995161384836</v>
      </c>
      <c r="U15" s="153">
        <f t="shared" ref="U15" si="27">T15+U14</f>
        <v>12.9074798138139</v>
      </c>
      <c r="V15" s="153">
        <f t="shared" ref="V15" si="28">U15+V14</f>
        <v>20.7173577880075</v>
      </c>
      <c r="W15" s="153">
        <f t="shared" ref="W15" si="29">V15+W14</f>
        <v>29.2398814057289</v>
      </c>
      <c r="X15" s="153">
        <f t="shared" ref="X15" si="30">W15+X14</f>
        <v>38.3493169493479</v>
      </c>
      <c r="Y15" s="153"/>
      <c r="Z15" s="153"/>
      <c r="AA15" s="153"/>
      <c r="AB15" s="153"/>
      <c r="AC15" s="101"/>
      <c r="AD15" s="101"/>
    </row>
    <row r="16" ht="24" spans="1:30">
      <c r="A16" s="151">
        <v>14</v>
      </c>
      <c r="B16" s="24" t="s">
        <v>252</v>
      </c>
      <c r="C16" s="153">
        <f t="shared" si="7"/>
        <v>611.941447882732</v>
      </c>
      <c r="D16" s="153">
        <f>D13-D14</f>
        <v>2.79490292825607</v>
      </c>
      <c r="E16" s="153">
        <f>E13-E14</f>
        <v>5.10003527081912</v>
      </c>
      <c r="F16" s="153">
        <f t="shared" ref="F16:M16" si="31">F13-F14</f>
        <v>6.92761558817849</v>
      </c>
      <c r="G16" s="153">
        <f t="shared" si="31"/>
        <v>8.33916209288198</v>
      </c>
      <c r="H16" s="153">
        <f t="shared" si="31"/>
        <v>9.07062984775194</v>
      </c>
      <c r="I16" s="153">
        <f t="shared" si="31"/>
        <v>9.49191808778334</v>
      </c>
      <c r="J16" s="153">
        <f t="shared" si="31"/>
        <v>9.69586362900423</v>
      </c>
      <c r="K16" s="153">
        <f t="shared" si="31"/>
        <v>13.1527363561769</v>
      </c>
      <c r="L16" s="153">
        <f t="shared" si="31"/>
        <v>16.1235810184883</v>
      </c>
      <c r="M16" s="153">
        <f t="shared" si="31"/>
        <v>18.675859039983</v>
      </c>
      <c r="N16" s="153">
        <f t="shared" ref="N16:X16" si="32">N13-N14</f>
        <v>20.8713021817873</v>
      </c>
      <c r="O16" s="153">
        <f t="shared" si="32"/>
        <v>22.7665402966457</v>
      </c>
      <c r="P16" s="153">
        <f t="shared" si="32"/>
        <v>24.4136692610896</v>
      </c>
      <c r="Q16" s="153">
        <f t="shared" si="32"/>
        <v>25.8607652266472</v>
      </c>
      <c r="R16" s="153">
        <f t="shared" si="32"/>
        <v>30.5839073824187</v>
      </c>
      <c r="S16" s="153">
        <f t="shared" si="32"/>
        <v>42.9291071306889</v>
      </c>
      <c r="T16" s="153">
        <f t="shared" si="32"/>
        <v>53.5495645246352</v>
      </c>
      <c r="U16" s="153">
        <f t="shared" si="32"/>
        <v>62.61775379969</v>
      </c>
      <c r="V16" s="153">
        <f t="shared" si="32"/>
        <v>70.2889017677424</v>
      </c>
      <c r="W16" s="153">
        <f t="shared" si="32"/>
        <v>76.7027125594926</v>
      </c>
      <c r="X16" s="153">
        <f t="shared" si="32"/>
        <v>81.9849198925708</v>
      </c>
      <c r="Y16" s="153"/>
      <c r="Z16" s="153"/>
      <c r="AA16" s="153"/>
      <c r="AB16" s="153"/>
      <c r="AC16" s="101"/>
      <c r="AD16" s="101"/>
    </row>
    <row r="17" ht="24" spans="1:30">
      <c r="A17" s="151">
        <v>15</v>
      </c>
      <c r="B17" s="24" t="s">
        <v>253</v>
      </c>
      <c r="C17" s="153">
        <f t="shared" si="7"/>
        <v>271.521506656007</v>
      </c>
      <c r="D17" s="153">
        <f>D20</f>
        <v>12.1172801644997</v>
      </c>
      <c r="E17" s="153">
        <f t="shared" ref="E17:K17" si="33">E20</f>
        <v>11.4468141143912</v>
      </c>
      <c r="F17" s="153">
        <f t="shared" si="33"/>
        <v>10.7025441807826</v>
      </c>
      <c r="G17" s="153">
        <f t="shared" si="33"/>
        <v>9.95827424717399</v>
      </c>
      <c r="H17" s="153">
        <f t="shared" si="33"/>
        <v>8.73970334362293</v>
      </c>
      <c r="I17" s="153">
        <f t="shared" si="33"/>
        <v>7.94573201498868</v>
      </c>
      <c r="J17" s="153">
        <f t="shared" si="33"/>
        <v>7.21947663795622</v>
      </c>
      <c r="K17" s="153">
        <f t="shared" si="33"/>
        <v>11.5770089001511</v>
      </c>
      <c r="L17" s="153">
        <f t="shared" ref="L17:X17" si="34">L20</f>
        <v>10.8507535231186</v>
      </c>
      <c r="M17" s="153">
        <f t="shared" si="34"/>
        <v>10.1244981460861</v>
      </c>
      <c r="N17" s="153">
        <f t="shared" si="34"/>
        <v>9.39824276905364</v>
      </c>
      <c r="O17" s="153">
        <f t="shared" si="34"/>
        <v>8.67198739202116</v>
      </c>
      <c r="P17" s="153">
        <f t="shared" si="34"/>
        <v>7.94573201498868</v>
      </c>
      <c r="Q17" s="153">
        <f t="shared" si="34"/>
        <v>7.21947663795622</v>
      </c>
      <c r="R17" s="153">
        <f t="shared" si="34"/>
        <v>11.5770089001511</v>
      </c>
      <c r="S17" s="153">
        <f t="shared" si="34"/>
        <v>22.820134054092</v>
      </c>
      <c r="T17" s="153">
        <f t="shared" si="34"/>
        <v>22.0938786770596</v>
      </c>
      <c r="U17" s="153">
        <f t="shared" si="34"/>
        <v>21.3676233000271</v>
      </c>
      <c r="V17" s="153">
        <f t="shared" si="34"/>
        <v>20.6413679229946</v>
      </c>
      <c r="W17" s="153">
        <f t="shared" si="34"/>
        <v>19.9151125459621</v>
      </c>
      <c r="X17" s="153">
        <f t="shared" si="34"/>
        <v>19.1888571689297</v>
      </c>
      <c r="Y17" s="153"/>
      <c r="Z17" s="153"/>
      <c r="AA17" s="153"/>
      <c r="AB17" s="153"/>
      <c r="AC17" s="101"/>
      <c r="AD17" s="101"/>
    </row>
    <row r="18" ht="24" spans="1:30">
      <c r="A18" s="151">
        <v>16</v>
      </c>
      <c r="B18" s="24" t="s">
        <v>254</v>
      </c>
      <c r="C18" s="153">
        <f t="shared" si="7"/>
        <v>67.8803766640017</v>
      </c>
      <c r="D18" s="154">
        <f>D17*基础输入数据!$K$13</f>
        <v>3.02932004112493</v>
      </c>
      <c r="E18" s="154">
        <f>E17*基础输入数据!$K$13</f>
        <v>2.86170352859779</v>
      </c>
      <c r="F18" s="154">
        <f>F17*基础输入数据!$K$13</f>
        <v>2.67563604519565</v>
      </c>
      <c r="G18" s="154">
        <f>G17*基础输入数据!$K$13</f>
        <v>2.4895685617935</v>
      </c>
      <c r="H18" s="154">
        <f>H17*基础输入数据!$K$13</f>
        <v>2.18492583590573</v>
      </c>
      <c r="I18" s="154">
        <f>I17*基础输入数据!$K$13</f>
        <v>1.98643300374717</v>
      </c>
      <c r="J18" s="154">
        <f>J17*基础输入数据!$K$13</f>
        <v>1.80486915948906</v>
      </c>
      <c r="K18" s="154">
        <f>K17*基础输入数据!$K$13</f>
        <v>2.89425222503776</v>
      </c>
      <c r="L18" s="154">
        <f>L17*基础输入数据!$K$13</f>
        <v>2.71268838077965</v>
      </c>
      <c r="M18" s="154">
        <f>M17*基础输入数据!$K$13</f>
        <v>2.53112453652153</v>
      </c>
      <c r="N18" s="154">
        <f>N17*基础输入数据!$K$13</f>
        <v>2.34956069226341</v>
      </c>
      <c r="O18" s="154">
        <f>O17*基础输入数据!$K$13</f>
        <v>2.16799684800529</v>
      </c>
      <c r="P18" s="154">
        <f>P17*基础输入数据!$K$13</f>
        <v>1.98643300374717</v>
      </c>
      <c r="Q18" s="154">
        <f>Q17*基础输入数据!$K$13</f>
        <v>1.80486915948906</v>
      </c>
      <c r="R18" s="154">
        <f>R17*基础输入数据!$K$13</f>
        <v>2.89425222503776</v>
      </c>
      <c r="S18" s="154">
        <f>S17*基础输入数据!$K$13</f>
        <v>5.70503351352301</v>
      </c>
      <c r="T18" s="154">
        <f>T17*基础输入数据!$K$13</f>
        <v>5.52346966926489</v>
      </c>
      <c r="U18" s="154">
        <f>U17*基础输入数据!$K$13</f>
        <v>5.34190582500677</v>
      </c>
      <c r="V18" s="154">
        <f>V17*基础输入数据!$K$13</f>
        <v>5.16034198074865</v>
      </c>
      <c r="W18" s="154">
        <f>W17*基础输入数据!$K$13</f>
        <v>4.97877813649053</v>
      </c>
      <c r="X18" s="154">
        <f>X17*基础输入数据!$K$13</f>
        <v>4.79721429223242</v>
      </c>
      <c r="Y18" s="154"/>
      <c r="Z18" s="154"/>
      <c r="AA18" s="154"/>
      <c r="AB18" s="154"/>
      <c r="AC18" s="101"/>
      <c r="AD18" s="101"/>
    </row>
    <row r="19" ht="24" spans="1:30">
      <c r="A19" s="151">
        <v>18</v>
      </c>
      <c r="B19" s="24" t="s">
        <v>255</v>
      </c>
      <c r="C19" s="153">
        <f t="shared" si="7"/>
        <v>611.941447882732</v>
      </c>
      <c r="D19" s="153">
        <f>D16</f>
        <v>2.79490292825607</v>
      </c>
      <c r="E19" s="153">
        <f t="shared" ref="E19:L19" si="35">E16</f>
        <v>5.10003527081912</v>
      </c>
      <c r="F19" s="153">
        <f t="shared" si="35"/>
        <v>6.92761558817849</v>
      </c>
      <c r="G19" s="153">
        <f t="shared" si="35"/>
        <v>8.33916209288198</v>
      </c>
      <c r="H19" s="153">
        <f t="shared" si="35"/>
        <v>9.07062984775194</v>
      </c>
      <c r="I19" s="153">
        <f t="shared" si="35"/>
        <v>9.49191808778334</v>
      </c>
      <c r="J19" s="153">
        <f t="shared" si="35"/>
        <v>9.69586362900423</v>
      </c>
      <c r="K19" s="153">
        <f t="shared" si="35"/>
        <v>13.1527363561769</v>
      </c>
      <c r="L19" s="153">
        <f t="shared" si="35"/>
        <v>16.1235810184883</v>
      </c>
      <c r="M19" s="153">
        <f t="shared" ref="M19:X19" si="36">M16</f>
        <v>18.675859039983</v>
      </c>
      <c r="N19" s="153">
        <f t="shared" si="36"/>
        <v>20.8713021817873</v>
      </c>
      <c r="O19" s="153">
        <f t="shared" si="36"/>
        <v>22.7665402966457</v>
      </c>
      <c r="P19" s="153">
        <f t="shared" si="36"/>
        <v>24.4136692610896</v>
      </c>
      <c r="Q19" s="153">
        <f t="shared" si="36"/>
        <v>25.8607652266472</v>
      </c>
      <c r="R19" s="153">
        <f t="shared" si="36"/>
        <v>30.5839073824187</v>
      </c>
      <c r="S19" s="153">
        <f t="shared" si="36"/>
        <v>42.9291071306889</v>
      </c>
      <c r="T19" s="153">
        <f t="shared" si="36"/>
        <v>53.5495645246352</v>
      </c>
      <c r="U19" s="153">
        <f t="shared" si="36"/>
        <v>62.61775379969</v>
      </c>
      <c r="V19" s="153">
        <f t="shared" si="36"/>
        <v>70.2889017677424</v>
      </c>
      <c r="W19" s="153">
        <f t="shared" si="36"/>
        <v>76.7027125594926</v>
      </c>
      <c r="X19" s="153">
        <f t="shared" si="36"/>
        <v>81.9849198925708</v>
      </c>
      <c r="Y19" s="153"/>
      <c r="Z19" s="153"/>
      <c r="AA19" s="153"/>
      <c r="AB19" s="153"/>
      <c r="AC19" s="101"/>
      <c r="AD19" s="101"/>
    </row>
    <row r="20" ht="36" spans="1:30">
      <c r="A20" s="151">
        <v>19</v>
      </c>
      <c r="B20" s="24" t="s">
        <v>256</v>
      </c>
      <c r="C20" s="153">
        <f t="shared" si="7"/>
        <v>271.521506656007</v>
      </c>
      <c r="D20" s="153">
        <f>D8+'表6 还本付息表'!E8</f>
        <v>12.1172801644997</v>
      </c>
      <c r="E20" s="153">
        <f>E8+'表6 还本付息表'!F8</f>
        <v>11.4468141143912</v>
      </c>
      <c r="F20" s="153">
        <f>F8+'表6 还本付息表'!G8</f>
        <v>10.7025441807826</v>
      </c>
      <c r="G20" s="153">
        <f>G8+'表6 还本付息表'!H8</f>
        <v>9.95827424717399</v>
      </c>
      <c r="H20" s="153">
        <f>H8+'表6 还本付息表'!I8</f>
        <v>8.73970334362293</v>
      </c>
      <c r="I20" s="153">
        <f>I8+'表6 还本付息表'!J8</f>
        <v>7.94573201498868</v>
      </c>
      <c r="J20" s="153">
        <f>J8+'表6 还本付息表'!K8</f>
        <v>7.21947663795622</v>
      </c>
      <c r="K20" s="153">
        <f>K8+'表6 还本付息表'!L8</f>
        <v>11.5770089001511</v>
      </c>
      <c r="L20" s="153">
        <f>L8+'表6 还本付息表'!M8</f>
        <v>10.8507535231186</v>
      </c>
      <c r="M20" s="153">
        <f>M8+'表6 还本付息表'!N8</f>
        <v>10.1244981460861</v>
      </c>
      <c r="N20" s="153">
        <f>N8+'表6 还本付息表'!O8</f>
        <v>9.39824276905364</v>
      </c>
      <c r="O20" s="153">
        <f>O8+'表6 还本付息表'!P8</f>
        <v>8.67198739202116</v>
      </c>
      <c r="P20" s="153">
        <f>P8+'表6 还本付息表'!Q8</f>
        <v>7.94573201498868</v>
      </c>
      <c r="Q20" s="153">
        <f>Q8+'表6 还本付息表'!R8</f>
        <v>7.21947663795622</v>
      </c>
      <c r="R20" s="153">
        <f>R8+'表6 还本付息表'!S8</f>
        <v>11.5770089001511</v>
      </c>
      <c r="S20" s="153">
        <f>S8+'表6 还本付息表'!T8</f>
        <v>22.820134054092</v>
      </c>
      <c r="T20" s="153">
        <f>T8+'表6 还本付息表'!U8</f>
        <v>22.0938786770596</v>
      </c>
      <c r="U20" s="153">
        <f>U8+'表6 还本付息表'!V8</f>
        <v>21.3676233000271</v>
      </c>
      <c r="V20" s="153">
        <f>V8+'表6 还本付息表'!W8</f>
        <v>20.6413679229946</v>
      </c>
      <c r="W20" s="153">
        <f>W8+'表6 还本付息表'!X8</f>
        <v>19.9151125459621</v>
      </c>
      <c r="X20" s="153">
        <f>X8+'表6 还本付息表'!Y8</f>
        <v>19.1888571689297</v>
      </c>
      <c r="Y20" s="153"/>
      <c r="Z20" s="153"/>
      <c r="AA20" s="153"/>
      <c r="AB20" s="153"/>
      <c r="AC20" s="101"/>
      <c r="AD20" s="101"/>
    </row>
    <row r="21" ht="60.75" spans="1:30">
      <c r="A21" s="155">
        <v>20</v>
      </c>
      <c r="B21" s="28" t="s">
        <v>257</v>
      </c>
      <c r="C21" s="153">
        <f t="shared" si="7"/>
        <v>451.062214620609</v>
      </c>
      <c r="D21" s="156">
        <f>D20+'表3 固定资产折旧费估算表'!D15</f>
        <v>24.0866606954732</v>
      </c>
      <c r="E21" s="156">
        <f>E20+'表3 固定资产折旧费估算表'!E15</f>
        <v>23.4161946453646</v>
      </c>
      <c r="F21" s="156">
        <f>F20+'表3 固定资产折旧费估算表'!F15</f>
        <v>22.671924711756</v>
      </c>
      <c r="G21" s="156">
        <f>G20+'表3 固定资产折旧费估算表'!G15</f>
        <v>21.9276547781474</v>
      </c>
      <c r="H21" s="156">
        <f>H20+'表3 固定资产折旧费估算表'!H15</f>
        <v>20.7090838745964</v>
      </c>
      <c r="I21" s="156">
        <f>I20+'表3 固定资产折旧费估算表'!I15</f>
        <v>19.9151125459621</v>
      </c>
      <c r="J21" s="156">
        <f>J20+'表3 固定资产折旧费估算表'!J15</f>
        <v>19.1888571689297</v>
      </c>
      <c r="K21" s="156">
        <f>K20+'表3 固定资产折旧费估算表'!K15</f>
        <v>23.5463894311245</v>
      </c>
      <c r="L21" s="156">
        <f>L20+'表3 固定资产折旧费估算表'!L15</f>
        <v>22.820134054092</v>
      </c>
      <c r="M21" s="156">
        <f>M20+'表3 固定资产折旧费估算表'!M15</f>
        <v>22.0938786770596</v>
      </c>
      <c r="N21" s="156">
        <f>N20+'表3 固定资产折旧费估算表'!N15</f>
        <v>21.3676233000271</v>
      </c>
      <c r="O21" s="156">
        <f>O20+'表3 固定资产折旧费估算表'!O15</f>
        <v>20.6413679229946</v>
      </c>
      <c r="P21" s="156">
        <f>P20+'表3 固定资产折旧费估算表'!P15</f>
        <v>19.9151125459621</v>
      </c>
      <c r="Q21" s="156">
        <f>Q20+'表3 固定资产折旧费估算表'!Q15</f>
        <v>19.1888571689297</v>
      </c>
      <c r="R21" s="156">
        <f>R20+'表3 固定资产折旧费估算表'!R15</f>
        <v>23.5463894311245</v>
      </c>
      <c r="S21" s="156">
        <f>S20+'表3 固定资产折旧费估算表'!S15</f>
        <v>22.820134054092</v>
      </c>
      <c r="T21" s="156">
        <f>T20+'表3 固定资产折旧费估算表'!T15</f>
        <v>22.0938786770596</v>
      </c>
      <c r="U21" s="156">
        <f>U20+'表3 固定资产折旧费估算表'!U15</f>
        <v>21.3676233000271</v>
      </c>
      <c r="V21" s="156">
        <f>V20+'表3 固定资产折旧费估算表'!V15</f>
        <v>20.6413679229946</v>
      </c>
      <c r="W21" s="156">
        <f>W20+'表3 固定资产折旧费估算表'!W15</f>
        <v>19.9151125459621</v>
      </c>
      <c r="X21" s="156">
        <f>X20+'表3 固定资产折旧费估算表'!X15</f>
        <v>19.1888571689297</v>
      </c>
      <c r="Y21" s="156"/>
      <c r="Z21" s="156"/>
      <c r="AA21" s="156"/>
      <c r="AB21" s="156"/>
      <c r="AC21" s="101"/>
      <c r="AD21" s="101"/>
    </row>
    <row r="22" spans="1:30">
      <c r="A22" s="66"/>
      <c r="B22" s="66" t="s">
        <v>59</v>
      </c>
      <c r="C22" s="123">
        <f>C20/基础数据!$H$5/基础数据!$B$4</f>
        <v>0.0615695026430855</v>
      </c>
      <c r="D22" s="66"/>
      <c r="E22" s="66" t="s">
        <v>258</v>
      </c>
      <c r="F22" s="123">
        <f>D20/基础数据!B4</f>
        <v>0.0577013341166654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</row>
    <row r="23" ht="15" spans="1:30">
      <c r="A23" s="66"/>
      <c r="B23" s="66" t="s">
        <v>259</v>
      </c>
      <c r="C23" s="123">
        <f>C11/基础数据!$H$5/基础数据!$B$19</f>
        <v>0.113362368935573</v>
      </c>
      <c r="D23" s="66"/>
      <c r="E23" s="66" t="s">
        <v>260</v>
      </c>
      <c r="F23" s="123">
        <f>D11/基础数据!$B$19</f>
        <v>0.0492928206041634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</row>
    <row r="24" spans="1:30">
      <c r="A24" s="17" t="s">
        <v>3</v>
      </c>
      <c r="B24" s="18" t="s">
        <v>243</v>
      </c>
      <c r="C24" s="18" t="s">
        <v>102</v>
      </c>
      <c r="D24" s="18" t="s">
        <v>171</v>
      </c>
      <c r="E24" s="18" t="s">
        <v>172</v>
      </c>
      <c r="F24" s="18" t="s">
        <v>173</v>
      </c>
      <c r="G24" s="18" t="s">
        <v>174</v>
      </c>
      <c r="H24" s="18" t="s">
        <v>175</v>
      </c>
      <c r="I24" s="18" t="s">
        <v>176</v>
      </c>
      <c r="J24" s="18" t="s">
        <v>177</v>
      </c>
      <c r="K24" s="18" t="s">
        <v>178</v>
      </c>
      <c r="L24" s="18"/>
      <c r="M24" s="18"/>
      <c r="N24" s="18"/>
      <c r="O24" s="18"/>
      <c r="P24" s="157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</row>
    <row r="25" spans="1:30">
      <c r="A25" s="20"/>
      <c r="B25" s="21"/>
      <c r="C25" s="21"/>
      <c r="D25" s="21">
        <f>P4+1</f>
        <v>14</v>
      </c>
      <c r="E25" s="21">
        <f>D25+1</f>
        <v>15</v>
      </c>
      <c r="F25" s="21">
        <f t="shared" ref="F25:K25" si="37">E25+1</f>
        <v>16</v>
      </c>
      <c r="G25" s="21">
        <f t="shared" si="37"/>
        <v>17</v>
      </c>
      <c r="H25" s="21">
        <f t="shared" si="37"/>
        <v>18</v>
      </c>
      <c r="I25" s="21">
        <f t="shared" si="37"/>
        <v>19</v>
      </c>
      <c r="J25" s="21">
        <f t="shared" si="37"/>
        <v>20</v>
      </c>
      <c r="K25" s="21">
        <f t="shared" si="37"/>
        <v>21</v>
      </c>
      <c r="L25" s="21"/>
      <c r="M25" s="21"/>
      <c r="N25" s="21"/>
      <c r="O25" s="21"/>
      <c r="P25" s="158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</row>
    <row r="26" ht="36" spans="1:30">
      <c r="A26" s="151">
        <v>1</v>
      </c>
      <c r="B26" s="152" t="s">
        <v>244</v>
      </c>
      <c r="C26" s="153">
        <f>C5</f>
        <v>881.12822656533</v>
      </c>
      <c r="D26" s="153">
        <f>D5</f>
        <v>45.9375780675394</v>
      </c>
      <c r="E26" s="153">
        <f t="shared" ref="E26:K26" si="38">E5</f>
        <v>44.6615884506743</v>
      </c>
      <c r="F26" s="153">
        <f t="shared" si="38"/>
        <v>43.3117949503093</v>
      </c>
      <c r="G26" s="153">
        <f t="shared" si="38"/>
        <v>41.9620014499443</v>
      </c>
      <c r="H26" s="153">
        <f t="shared" si="38"/>
        <v>40.6122079495793</v>
      </c>
      <c r="I26" s="153">
        <f t="shared" si="38"/>
        <v>39.2624144492142</v>
      </c>
      <c r="J26" s="153">
        <f t="shared" si="38"/>
        <v>37.9126209488492</v>
      </c>
      <c r="K26" s="153">
        <f t="shared" si="38"/>
        <v>46.0113819510394</v>
      </c>
      <c r="L26" s="153"/>
      <c r="M26" s="153"/>
      <c r="N26" s="153"/>
      <c r="O26" s="153"/>
      <c r="P26" s="107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</row>
    <row r="27" ht="24" spans="1:30">
      <c r="A27" s="151">
        <v>2</v>
      </c>
      <c r="B27" s="24" t="s">
        <v>207</v>
      </c>
      <c r="C27" s="153">
        <f t="shared" ref="C27:K42" si="39">C6</f>
        <v>9.34473183698761</v>
      </c>
      <c r="D27" s="153">
        <f t="shared" si="39"/>
        <v>0</v>
      </c>
      <c r="E27" s="153">
        <f t="shared" si="39"/>
        <v>0</v>
      </c>
      <c r="F27" s="153">
        <f t="shared" si="39"/>
        <v>0</v>
      </c>
      <c r="G27" s="153">
        <f t="shared" si="39"/>
        <v>0</v>
      </c>
      <c r="H27" s="153">
        <f t="shared" si="39"/>
        <v>0.474300969942478</v>
      </c>
      <c r="I27" s="153">
        <f t="shared" si="39"/>
        <v>0.524002364968142</v>
      </c>
      <c r="J27" s="153">
        <f t="shared" si="39"/>
        <v>0.505987808392036</v>
      </c>
      <c r="K27" s="153">
        <f t="shared" si="39"/>
        <v>0.614075147848673</v>
      </c>
      <c r="L27" s="153"/>
      <c r="M27" s="153"/>
      <c r="N27" s="153"/>
      <c r="O27" s="153"/>
      <c r="P27" s="107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</row>
    <row r="28" spans="1:30">
      <c r="A28" s="151">
        <v>3</v>
      </c>
      <c r="B28" s="24" t="s">
        <v>41</v>
      </c>
      <c r="C28" s="153">
        <f t="shared" si="39"/>
        <v>671.812275925991</v>
      </c>
      <c r="D28" s="153">
        <f t="shared" si="39"/>
        <v>41.7969811367896</v>
      </c>
      <c r="E28" s="153">
        <f t="shared" si="39"/>
        <v>40.8325178797282</v>
      </c>
      <c r="F28" s="153">
        <f t="shared" si="39"/>
        <v>39.8487077733593</v>
      </c>
      <c r="G28" s="153">
        <f t="shared" si="39"/>
        <v>38.8445080225053</v>
      </c>
      <c r="H28" s="153">
        <f t="shared" si="39"/>
        <v>37.8188196253284</v>
      </c>
      <c r="I28" s="153">
        <f t="shared" si="39"/>
        <v>36.7704843437919</v>
      </c>
      <c r="J28" s="153">
        <f t="shared" si="39"/>
        <v>35.6982815108287</v>
      </c>
      <c r="K28" s="153">
        <f t="shared" si="39"/>
        <v>38.8395896327121</v>
      </c>
      <c r="L28" s="153"/>
      <c r="M28" s="153"/>
      <c r="N28" s="153"/>
      <c r="O28" s="153"/>
      <c r="P28" s="107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</row>
    <row r="29" spans="1:30">
      <c r="A29" s="151">
        <v>4</v>
      </c>
      <c r="B29" s="24" t="s">
        <v>45</v>
      </c>
      <c r="C29" s="153">
        <f t="shared" si="39"/>
        <v>199.971218802351</v>
      </c>
      <c r="D29" s="153">
        <f t="shared" si="39"/>
        <v>4.14059693074973</v>
      </c>
      <c r="E29" s="153">
        <f t="shared" si="39"/>
        <v>3.82907057094616</v>
      </c>
      <c r="F29" s="153">
        <f t="shared" si="39"/>
        <v>3.46308717695005</v>
      </c>
      <c r="G29" s="153">
        <f t="shared" si="39"/>
        <v>3.11749342743902</v>
      </c>
      <c r="H29" s="153">
        <f t="shared" si="39"/>
        <v>2.31908735430838</v>
      </c>
      <c r="I29" s="153">
        <f t="shared" si="39"/>
        <v>1.96792774045421</v>
      </c>
      <c r="J29" s="153">
        <f t="shared" si="39"/>
        <v>1.70835162962848</v>
      </c>
      <c r="K29" s="153">
        <f t="shared" si="39"/>
        <v>6.55771717047859</v>
      </c>
      <c r="L29" s="153"/>
      <c r="M29" s="153"/>
      <c r="N29" s="153"/>
      <c r="O29" s="154"/>
      <c r="P29" s="107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</row>
    <row r="30" ht="24" spans="1:30">
      <c r="A30" s="151">
        <v>5</v>
      </c>
      <c r="B30" s="24" t="s">
        <v>245</v>
      </c>
      <c r="C30" s="153">
        <f t="shared" si="39"/>
        <v>199.971218802351</v>
      </c>
      <c r="D30" s="153">
        <f t="shared" si="39"/>
        <v>4.14059693074973</v>
      </c>
      <c r="E30" s="153">
        <f t="shared" si="39"/>
        <v>3.82907057094616</v>
      </c>
      <c r="F30" s="153">
        <f t="shared" si="39"/>
        <v>3.46308717695005</v>
      </c>
      <c r="G30" s="153">
        <f t="shared" si="39"/>
        <v>3.11749342743902</v>
      </c>
      <c r="H30" s="153">
        <f t="shared" si="39"/>
        <v>2.31908735430838</v>
      </c>
      <c r="I30" s="153">
        <f t="shared" si="39"/>
        <v>1.96792774045421</v>
      </c>
      <c r="J30" s="153">
        <f t="shared" si="39"/>
        <v>1.70835162962848</v>
      </c>
      <c r="K30" s="153">
        <f t="shared" si="39"/>
        <v>6.55771717047859</v>
      </c>
      <c r="L30" s="153"/>
      <c r="M30" s="153"/>
      <c r="N30" s="153"/>
      <c r="O30" s="153"/>
      <c r="P30" s="107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</row>
    <row r="31" spans="1:30">
      <c r="A31" s="151">
        <v>6</v>
      </c>
      <c r="B31" s="24" t="s">
        <v>246</v>
      </c>
      <c r="C31" s="153">
        <f t="shared" si="39"/>
        <v>49.9928047005877</v>
      </c>
      <c r="D31" s="153">
        <f t="shared" si="39"/>
        <v>1.03514923268743</v>
      </c>
      <c r="E31" s="153">
        <f t="shared" si="39"/>
        <v>0.957267642736541</v>
      </c>
      <c r="F31" s="153">
        <f t="shared" si="39"/>
        <v>0.865771794237512</v>
      </c>
      <c r="G31" s="153">
        <f t="shared" si="39"/>
        <v>0.779373356859754</v>
      </c>
      <c r="H31" s="153">
        <f t="shared" si="39"/>
        <v>0.579771838577095</v>
      </c>
      <c r="I31" s="153">
        <f t="shared" si="39"/>
        <v>0.491981935113554</v>
      </c>
      <c r="J31" s="153">
        <f t="shared" si="39"/>
        <v>0.42708790740712</v>
      </c>
      <c r="K31" s="153">
        <f t="shared" si="39"/>
        <v>1.63942929261965</v>
      </c>
      <c r="L31" s="153"/>
      <c r="M31" s="153"/>
      <c r="N31" s="153"/>
      <c r="O31" s="153"/>
      <c r="P31" s="107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</row>
    <row r="32" spans="1:30">
      <c r="A32" s="151">
        <v>7</v>
      </c>
      <c r="B32" s="24" t="s">
        <v>247</v>
      </c>
      <c r="C32" s="153">
        <f t="shared" si="39"/>
        <v>149.978414101763</v>
      </c>
      <c r="D32" s="153">
        <f t="shared" si="39"/>
        <v>3.1054476980623</v>
      </c>
      <c r="E32" s="153">
        <f t="shared" si="39"/>
        <v>2.87180292820962</v>
      </c>
      <c r="F32" s="153">
        <f t="shared" si="39"/>
        <v>2.59731538271254</v>
      </c>
      <c r="G32" s="153">
        <f t="shared" si="39"/>
        <v>2.33812007057926</v>
      </c>
      <c r="H32" s="153">
        <f t="shared" si="39"/>
        <v>1.73931551573128</v>
      </c>
      <c r="I32" s="153">
        <f t="shared" si="39"/>
        <v>1.47594580534066</v>
      </c>
      <c r="J32" s="153">
        <f t="shared" si="39"/>
        <v>1.28126372222136</v>
      </c>
      <c r="K32" s="153">
        <f t="shared" si="39"/>
        <v>4.91828787785894</v>
      </c>
      <c r="L32" s="153"/>
      <c r="M32" s="153"/>
      <c r="N32" s="153"/>
      <c r="O32" s="153"/>
      <c r="P32" s="107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</row>
    <row r="33" ht="24" spans="1:30">
      <c r="A33" s="151">
        <v>8</v>
      </c>
      <c r="B33" s="24" t="s">
        <v>248</v>
      </c>
      <c r="C33" s="153">
        <f t="shared" si="39"/>
        <v>529.956527990161</v>
      </c>
      <c r="D33" s="153">
        <f t="shared" si="39"/>
        <v>0</v>
      </c>
      <c r="E33" s="153">
        <f t="shared" si="39"/>
        <v>2.79490292825607</v>
      </c>
      <c r="F33" s="153">
        <f t="shared" si="39"/>
        <v>5.10003527081912</v>
      </c>
      <c r="G33" s="153">
        <f t="shared" si="39"/>
        <v>6.92761558817849</v>
      </c>
      <c r="H33" s="153">
        <f t="shared" si="39"/>
        <v>8.33916209288198</v>
      </c>
      <c r="I33" s="153">
        <f t="shared" si="39"/>
        <v>9.07062984775194</v>
      </c>
      <c r="J33" s="153">
        <f t="shared" si="39"/>
        <v>9.49191808778334</v>
      </c>
      <c r="K33" s="153">
        <f t="shared" si="39"/>
        <v>9.69586362900423</v>
      </c>
      <c r="L33" s="153"/>
      <c r="M33" s="153"/>
      <c r="N33" s="153"/>
      <c r="O33" s="154"/>
      <c r="P33" s="107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</row>
    <row r="34" ht="24" spans="1:30">
      <c r="A34" s="151">
        <v>9</v>
      </c>
      <c r="B34" s="24" t="s">
        <v>249</v>
      </c>
      <c r="C34" s="153">
        <f t="shared" si="39"/>
        <v>679.934942091924</v>
      </c>
      <c r="D34" s="153">
        <f t="shared" si="39"/>
        <v>3.1054476980623</v>
      </c>
      <c r="E34" s="153">
        <f t="shared" si="39"/>
        <v>5.66670585646569</v>
      </c>
      <c r="F34" s="153">
        <f t="shared" si="39"/>
        <v>7.69735065353166</v>
      </c>
      <c r="G34" s="153">
        <f t="shared" si="39"/>
        <v>9.26573565875775</v>
      </c>
      <c r="H34" s="153">
        <f t="shared" si="39"/>
        <v>10.0784776086133</v>
      </c>
      <c r="I34" s="153">
        <f t="shared" si="39"/>
        <v>10.5465756530926</v>
      </c>
      <c r="J34" s="153">
        <f t="shared" si="39"/>
        <v>10.7731818100047</v>
      </c>
      <c r="K34" s="153">
        <f t="shared" si="39"/>
        <v>14.6141515068632</v>
      </c>
      <c r="L34" s="153"/>
      <c r="M34" s="153"/>
      <c r="N34" s="153"/>
      <c r="O34" s="153"/>
      <c r="P34" s="107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</row>
    <row r="35" ht="24" spans="1:30">
      <c r="A35" s="151">
        <v>10</v>
      </c>
      <c r="B35" s="24" t="s">
        <v>250</v>
      </c>
      <c r="C35" s="153">
        <f t="shared" si="39"/>
        <v>67.9934942091924</v>
      </c>
      <c r="D35" s="153">
        <f t="shared" si="39"/>
        <v>0.31054476980623</v>
      </c>
      <c r="E35" s="153">
        <f t="shared" si="39"/>
        <v>0.566670585646569</v>
      </c>
      <c r="F35" s="153">
        <f t="shared" si="39"/>
        <v>0.769735065353166</v>
      </c>
      <c r="G35" s="153">
        <f t="shared" si="39"/>
        <v>0.926573565875775</v>
      </c>
      <c r="H35" s="153">
        <f t="shared" si="39"/>
        <v>1.00784776086133</v>
      </c>
      <c r="I35" s="153">
        <f t="shared" si="39"/>
        <v>1.05465756530926</v>
      </c>
      <c r="J35" s="153">
        <f t="shared" si="39"/>
        <v>1.07731818100047</v>
      </c>
      <c r="K35" s="153">
        <f t="shared" si="39"/>
        <v>1.46141515068632</v>
      </c>
      <c r="L35" s="153"/>
      <c r="M35" s="153"/>
      <c r="N35" s="153"/>
      <c r="O35" s="153"/>
      <c r="P35" s="107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ht="24" spans="1:30">
      <c r="A36" s="151">
        <v>11</v>
      </c>
      <c r="B36" s="24" t="s">
        <v>251</v>
      </c>
      <c r="C36" s="153">
        <f t="shared" si="39"/>
        <v>220.134852260232</v>
      </c>
      <c r="D36" s="153">
        <f t="shared" si="39"/>
        <v>0.31054476980623</v>
      </c>
      <c r="E36" s="153">
        <f t="shared" si="39"/>
        <v>0.877215355452799</v>
      </c>
      <c r="F36" s="153">
        <f t="shared" si="39"/>
        <v>1.64695042080596</v>
      </c>
      <c r="G36" s="153">
        <f t="shared" si="39"/>
        <v>2.57352398668174</v>
      </c>
      <c r="H36" s="153">
        <f t="shared" si="39"/>
        <v>3.58137174754307</v>
      </c>
      <c r="I36" s="153">
        <f t="shared" si="39"/>
        <v>4.63602931285233</v>
      </c>
      <c r="J36" s="153">
        <f t="shared" si="39"/>
        <v>5.7133474938528</v>
      </c>
      <c r="K36" s="153">
        <f t="shared" si="39"/>
        <v>7.17476264453911</v>
      </c>
      <c r="L36" s="153"/>
      <c r="M36" s="153"/>
      <c r="N36" s="153"/>
      <c r="O36" s="153"/>
      <c r="P36" s="107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ht="24" spans="1:30">
      <c r="A37" s="151">
        <v>12</v>
      </c>
      <c r="B37" s="24" t="s">
        <v>252</v>
      </c>
      <c r="C37" s="153">
        <f t="shared" si="39"/>
        <v>611.941447882732</v>
      </c>
      <c r="D37" s="153">
        <f t="shared" si="39"/>
        <v>2.79490292825607</v>
      </c>
      <c r="E37" s="153">
        <f t="shared" si="39"/>
        <v>5.10003527081912</v>
      </c>
      <c r="F37" s="153">
        <f t="shared" si="39"/>
        <v>6.92761558817849</v>
      </c>
      <c r="G37" s="153">
        <f t="shared" si="39"/>
        <v>8.33916209288198</v>
      </c>
      <c r="H37" s="153">
        <f t="shared" si="39"/>
        <v>9.07062984775194</v>
      </c>
      <c r="I37" s="153">
        <f t="shared" si="39"/>
        <v>9.49191808778334</v>
      </c>
      <c r="J37" s="153">
        <f t="shared" si="39"/>
        <v>9.69586362900423</v>
      </c>
      <c r="K37" s="153">
        <f t="shared" si="39"/>
        <v>13.1527363561769</v>
      </c>
      <c r="L37" s="153"/>
      <c r="M37" s="153"/>
      <c r="N37" s="153"/>
      <c r="O37" s="154"/>
      <c r="P37" s="107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</row>
    <row r="38" ht="24" spans="1:30">
      <c r="A38" s="151">
        <v>13</v>
      </c>
      <c r="B38" s="24" t="s">
        <v>253</v>
      </c>
      <c r="C38" s="153">
        <f t="shared" si="39"/>
        <v>271.521506656007</v>
      </c>
      <c r="D38" s="153">
        <f t="shared" si="39"/>
        <v>12.1172801644997</v>
      </c>
      <c r="E38" s="153">
        <f t="shared" si="39"/>
        <v>11.4468141143912</v>
      </c>
      <c r="F38" s="153">
        <f t="shared" si="39"/>
        <v>10.7025441807826</v>
      </c>
      <c r="G38" s="153">
        <f t="shared" si="39"/>
        <v>9.95827424717399</v>
      </c>
      <c r="H38" s="153">
        <f t="shared" si="39"/>
        <v>8.73970334362293</v>
      </c>
      <c r="I38" s="153">
        <f t="shared" si="39"/>
        <v>7.94573201498868</v>
      </c>
      <c r="J38" s="153">
        <f t="shared" si="39"/>
        <v>7.21947663795622</v>
      </c>
      <c r="K38" s="153">
        <f t="shared" si="39"/>
        <v>11.5770089001511</v>
      </c>
      <c r="L38" s="153"/>
      <c r="M38" s="153"/>
      <c r="N38" s="153"/>
      <c r="O38" s="153"/>
      <c r="P38" s="107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</row>
    <row r="39" ht="24" spans="1:30">
      <c r="A39" s="151">
        <v>14</v>
      </c>
      <c r="B39" s="24" t="s">
        <v>254</v>
      </c>
      <c r="C39" s="153">
        <f t="shared" si="39"/>
        <v>67.8803766640017</v>
      </c>
      <c r="D39" s="153">
        <f t="shared" si="39"/>
        <v>3.02932004112493</v>
      </c>
      <c r="E39" s="153">
        <f t="shared" si="39"/>
        <v>2.86170352859779</v>
      </c>
      <c r="F39" s="153">
        <f t="shared" si="39"/>
        <v>2.67563604519565</v>
      </c>
      <c r="G39" s="153">
        <f t="shared" si="39"/>
        <v>2.4895685617935</v>
      </c>
      <c r="H39" s="153">
        <f t="shared" si="39"/>
        <v>2.18492583590573</v>
      </c>
      <c r="I39" s="153">
        <f t="shared" si="39"/>
        <v>1.98643300374717</v>
      </c>
      <c r="J39" s="153">
        <f t="shared" si="39"/>
        <v>1.80486915948906</v>
      </c>
      <c r="K39" s="153">
        <f t="shared" si="39"/>
        <v>2.89425222503776</v>
      </c>
      <c r="L39" s="153"/>
      <c r="M39" s="153"/>
      <c r="N39" s="153"/>
      <c r="O39" s="153"/>
      <c r="P39" s="107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</row>
    <row r="40" ht="24" spans="1:30">
      <c r="A40" s="151">
        <v>15</v>
      </c>
      <c r="B40" s="24" t="s">
        <v>255</v>
      </c>
      <c r="C40" s="153">
        <f t="shared" si="39"/>
        <v>611.941447882732</v>
      </c>
      <c r="D40" s="153">
        <f t="shared" si="39"/>
        <v>2.79490292825607</v>
      </c>
      <c r="E40" s="153">
        <f t="shared" si="39"/>
        <v>5.10003527081912</v>
      </c>
      <c r="F40" s="153">
        <f t="shared" si="39"/>
        <v>6.92761558817849</v>
      </c>
      <c r="G40" s="153">
        <f t="shared" si="39"/>
        <v>8.33916209288198</v>
      </c>
      <c r="H40" s="153">
        <f t="shared" si="39"/>
        <v>9.07062984775194</v>
      </c>
      <c r="I40" s="153">
        <f t="shared" si="39"/>
        <v>9.49191808778334</v>
      </c>
      <c r="J40" s="153">
        <f t="shared" si="39"/>
        <v>9.69586362900423</v>
      </c>
      <c r="K40" s="153">
        <f t="shared" si="39"/>
        <v>13.1527363561769</v>
      </c>
      <c r="L40" s="153"/>
      <c r="M40" s="153"/>
      <c r="N40" s="153"/>
      <c r="O40" s="153"/>
      <c r="P40" s="107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</row>
    <row r="41" ht="36" spans="1:30">
      <c r="A41" s="151">
        <v>16</v>
      </c>
      <c r="B41" s="24" t="s">
        <v>256</v>
      </c>
      <c r="C41" s="153">
        <f t="shared" si="39"/>
        <v>271.521506656007</v>
      </c>
      <c r="D41" s="153">
        <f t="shared" si="39"/>
        <v>12.1172801644997</v>
      </c>
      <c r="E41" s="153">
        <f t="shared" si="39"/>
        <v>11.4468141143912</v>
      </c>
      <c r="F41" s="153">
        <f t="shared" si="39"/>
        <v>10.7025441807826</v>
      </c>
      <c r="G41" s="153">
        <f t="shared" si="39"/>
        <v>9.95827424717399</v>
      </c>
      <c r="H41" s="153">
        <f t="shared" si="39"/>
        <v>8.73970334362293</v>
      </c>
      <c r="I41" s="153">
        <f t="shared" si="39"/>
        <v>7.94573201498868</v>
      </c>
      <c r="J41" s="153">
        <f t="shared" si="39"/>
        <v>7.21947663795622</v>
      </c>
      <c r="K41" s="153">
        <f t="shared" si="39"/>
        <v>11.5770089001511</v>
      </c>
      <c r="L41" s="153"/>
      <c r="M41" s="153"/>
      <c r="N41" s="153"/>
      <c r="O41" s="154"/>
      <c r="P41" s="107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</row>
    <row r="42" ht="60.75" spans="1:30">
      <c r="A42" s="151">
        <v>17</v>
      </c>
      <c r="B42" s="28" t="s">
        <v>257</v>
      </c>
      <c r="C42" s="153">
        <f t="shared" si="39"/>
        <v>451.062214620609</v>
      </c>
      <c r="D42" s="153">
        <f t="shared" si="39"/>
        <v>24.0866606954732</v>
      </c>
      <c r="E42" s="153">
        <f t="shared" si="39"/>
        <v>23.4161946453646</v>
      </c>
      <c r="F42" s="153">
        <f t="shared" si="39"/>
        <v>22.671924711756</v>
      </c>
      <c r="G42" s="153">
        <f t="shared" si="39"/>
        <v>21.9276547781474</v>
      </c>
      <c r="H42" s="153">
        <f t="shared" si="39"/>
        <v>20.7090838745964</v>
      </c>
      <c r="I42" s="153">
        <f t="shared" si="39"/>
        <v>19.9151125459621</v>
      </c>
      <c r="J42" s="153">
        <f t="shared" si="39"/>
        <v>19.1888571689297</v>
      </c>
      <c r="K42" s="153">
        <f t="shared" si="39"/>
        <v>23.5463894311245</v>
      </c>
      <c r="L42" s="153"/>
      <c r="M42" s="153"/>
      <c r="N42" s="153"/>
      <c r="O42" s="153"/>
      <c r="P42" s="107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</row>
    <row r="43" spans="1:30">
      <c r="A43" s="66"/>
      <c r="B43" s="66" t="s">
        <v>59</v>
      </c>
      <c r="C43" s="123">
        <f>C22</f>
        <v>0.0615695026430855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</row>
    <row r="44" spans="1:30">
      <c r="A44" s="66"/>
      <c r="B44" s="66" t="s">
        <v>259</v>
      </c>
      <c r="C44" s="123">
        <f>C23</f>
        <v>0.113362368935573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</row>
    <row r="49" spans="2:8">
      <c r="B49" s="10"/>
      <c r="C49" s="10"/>
      <c r="D49" s="10"/>
      <c r="E49" s="10"/>
      <c r="F49" s="10"/>
      <c r="G49" s="10"/>
      <c r="H49" s="10"/>
    </row>
    <row r="50" spans="2:8">
      <c r="B50" s="10"/>
      <c r="C50" s="10"/>
      <c r="D50" s="10"/>
      <c r="E50" s="10"/>
      <c r="F50" s="10"/>
      <c r="G50" s="10"/>
      <c r="H50" s="10"/>
    </row>
    <row r="51" spans="2:8">
      <c r="B51" s="10"/>
      <c r="C51" s="10"/>
      <c r="D51" s="10"/>
      <c r="E51" s="10"/>
      <c r="F51" s="10"/>
      <c r="G51" s="10"/>
      <c r="H51" s="10"/>
    </row>
    <row r="52" spans="2:8">
      <c r="B52" s="10"/>
      <c r="C52" s="10"/>
      <c r="D52" s="10"/>
      <c r="E52" s="10"/>
      <c r="F52" s="10"/>
      <c r="G52" s="10"/>
      <c r="H52" s="10"/>
    </row>
    <row r="53" spans="2:8">
      <c r="B53" s="10"/>
      <c r="C53" s="10"/>
      <c r="D53" s="10"/>
      <c r="E53" s="10"/>
      <c r="F53" s="10"/>
      <c r="G53" s="10"/>
      <c r="H53" s="10"/>
    </row>
    <row r="54" spans="2:8">
      <c r="B54" s="10"/>
      <c r="C54" s="10"/>
      <c r="D54" s="10"/>
      <c r="E54" s="10"/>
      <c r="F54" s="10"/>
      <c r="G54" s="10"/>
      <c r="H54" s="10"/>
    </row>
    <row r="55" spans="2:8">
      <c r="B55" s="10"/>
      <c r="C55" s="10"/>
      <c r="D55" s="10"/>
      <c r="E55" s="10"/>
      <c r="F55" s="10"/>
      <c r="G55" s="10"/>
      <c r="H55" s="10"/>
    </row>
    <row r="56" spans="2:8">
      <c r="B56" s="10"/>
      <c r="C56" s="10"/>
      <c r="D56" s="10"/>
      <c r="E56" s="10"/>
      <c r="F56" s="10"/>
      <c r="G56" s="10"/>
      <c r="H56" s="10"/>
    </row>
    <row r="57" spans="2:8">
      <c r="B57" s="10"/>
      <c r="C57" s="10"/>
      <c r="D57" s="10"/>
      <c r="E57" s="10"/>
      <c r="F57" s="10"/>
      <c r="G57" s="10"/>
      <c r="H57" s="10"/>
    </row>
    <row r="58" spans="2:8">
      <c r="B58" s="10"/>
      <c r="C58" s="10"/>
      <c r="D58" s="10"/>
      <c r="E58" s="10"/>
      <c r="F58" s="10"/>
      <c r="G58" s="10"/>
      <c r="H58" s="10"/>
    </row>
    <row r="59" spans="2:8">
      <c r="B59" s="10"/>
      <c r="C59" s="10"/>
      <c r="D59" s="10"/>
      <c r="E59" s="10"/>
      <c r="F59" s="10"/>
      <c r="G59" s="10"/>
      <c r="H59" s="10"/>
    </row>
    <row r="60" spans="2:8">
      <c r="B60" s="10"/>
      <c r="C60" s="10"/>
      <c r="D60" s="10"/>
      <c r="E60" s="10"/>
      <c r="F60" s="10"/>
      <c r="G60" s="10"/>
      <c r="H60" s="10"/>
    </row>
    <row r="61" spans="2:8">
      <c r="B61" s="10"/>
      <c r="C61" s="10"/>
      <c r="D61" s="10"/>
      <c r="E61" s="10"/>
      <c r="F61" s="10"/>
      <c r="G61" s="10"/>
      <c r="H61" s="10"/>
    </row>
    <row r="62" spans="2:8">
      <c r="B62" s="11"/>
      <c r="C62" s="12"/>
      <c r="D62" s="12"/>
      <c r="E62" s="12"/>
      <c r="F62" s="12"/>
      <c r="G62" s="12"/>
      <c r="H62" s="12"/>
    </row>
    <row r="63" spans="2:8">
      <c r="B63" s="12"/>
      <c r="C63" s="12"/>
      <c r="D63" s="12"/>
      <c r="E63" s="12"/>
      <c r="F63" s="12"/>
      <c r="G63" s="12"/>
      <c r="H63" s="12"/>
    </row>
    <row r="64" spans="2:8">
      <c r="B64" s="12"/>
      <c r="C64" s="12"/>
      <c r="D64" s="12"/>
      <c r="E64" s="12"/>
      <c r="F64" s="12"/>
      <c r="G64" s="12"/>
      <c r="H64" s="12"/>
    </row>
  </sheetData>
  <sheetProtection selectLockedCells="1" autoFilter="0"/>
  <mergeCells count="4">
    <mergeCell ref="A1:P1"/>
    <mergeCell ref="A2:P2"/>
    <mergeCell ref="B49:H61"/>
    <mergeCell ref="B62:H6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3"/>
  <sheetViews>
    <sheetView topLeftCell="D34" workbookViewId="0">
      <selection activeCell="F71" sqref="F71:L73"/>
    </sheetView>
  </sheetViews>
  <sheetFormatPr defaultColWidth="10" defaultRowHeight="14.25"/>
  <cols>
    <col min="1" max="1" width="10" style="1"/>
    <col min="2" max="2" width="15.875" style="1" customWidth="1"/>
    <col min="3" max="16384" width="10" style="1"/>
  </cols>
  <sheetData>
    <row r="1" ht="21" spans="1:29">
      <c r="A1" s="128" t="s">
        <v>261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</row>
    <row r="2" spans="1:29">
      <c r="A2" s="32" t="s">
        <v>3</v>
      </c>
      <c r="B2" s="33" t="s">
        <v>4</v>
      </c>
      <c r="C2" s="33" t="s">
        <v>102</v>
      </c>
      <c r="D2" s="33" t="s">
        <v>128</v>
      </c>
      <c r="E2" s="33" t="s">
        <v>158</v>
      </c>
      <c r="F2" s="33" t="s">
        <v>159</v>
      </c>
      <c r="G2" s="33" t="s">
        <v>160</v>
      </c>
      <c r="H2" s="33" t="s">
        <v>161</v>
      </c>
      <c r="I2" s="33" t="s">
        <v>162</v>
      </c>
      <c r="J2" s="33" t="s">
        <v>163</v>
      </c>
      <c r="K2" s="33" t="s">
        <v>164</v>
      </c>
      <c r="L2" s="33" t="s">
        <v>165</v>
      </c>
      <c r="M2" s="33" t="s">
        <v>166</v>
      </c>
      <c r="N2" s="33" t="s">
        <v>167</v>
      </c>
      <c r="O2" s="33" t="s">
        <v>168</v>
      </c>
      <c r="P2" s="38" t="s">
        <v>169</v>
      </c>
      <c r="Q2" s="33" t="s">
        <v>170</v>
      </c>
      <c r="R2" s="33" t="s">
        <v>171</v>
      </c>
      <c r="S2" s="33" t="s">
        <v>172</v>
      </c>
      <c r="T2" s="33" t="s">
        <v>173</v>
      </c>
      <c r="U2" s="33" t="s">
        <v>174</v>
      </c>
      <c r="V2" s="33" t="s">
        <v>175</v>
      </c>
      <c r="W2" s="33" t="s">
        <v>176</v>
      </c>
      <c r="X2" s="33" t="s">
        <v>177</v>
      </c>
      <c r="Y2" s="33" t="s">
        <v>178</v>
      </c>
      <c r="Z2" s="33"/>
      <c r="AA2" s="33"/>
      <c r="AB2" s="38"/>
      <c r="AC2" s="33"/>
    </row>
    <row r="3" spans="1:29">
      <c r="A3" s="129">
        <v>1</v>
      </c>
      <c r="B3" s="130" t="s">
        <v>262</v>
      </c>
      <c r="C3" s="115"/>
      <c r="D3" s="115"/>
      <c r="E3" s="115">
        <f>D9</f>
        <v>147.9904125</v>
      </c>
      <c r="F3" s="115">
        <f>E9</f>
        <v>141.331049043506</v>
      </c>
      <c r="G3" s="115">
        <f t="shared" ref="G3:N3" si="0">F9</f>
        <v>134.312745896708</v>
      </c>
      <c r="H3" s="115">
        <f t="shared" si="0"/>
        <v>126.916156210296</v>
      </c>
      <c r="I3" s="115">
        <f t="shared" si="0"/>
        <v>119.120890339788</v>
      </c>
      <c r="J3" s="115">
        <f t="shared" si="0"/>
        <v>110.905459638858</v>
      </c>
      <c r="K3" s="115">
        <f t="shared" si="0"/>
        <v>102.247217223149</v>
      </c>
      <c r="L3" s="115">
        <f t="shared" si="0"/>
        <v>93.1222955412332</v>
      </c>
      <c r="M3" s="115">
        <f t="shared" si="0"/>
        <v>83.5055405806619</v>
      </c>
      <c r="N3" s="115">
        <f t="shared" si="0"/>
        <v>73.3704425277159</v>
      </c>
      <c r="O3" s="115">
        <f t="shared" ref="O3" si="1">N9</f>
        <v>62.689062689716</v>
      </c>
      <c r="P3" s="115">
        <f t="shared" ref="P3" si="2">O9</f>
        <v>51.431956478448</v>
      </c>
      <c r="Q3" s="115">
        <f t="shared" ref="Q3" si="3">P9</f>
        <v>39.5680922423926</v>
      </c>
      <c r="R3" s="115">
        <f t="shared" ref="R3" si="4">Q9</f>
        <v>27.0647657240139</v>
      </c>
      <c r="S3" s="115">
        <f t="shared" ref="S3" si="5">R9</f>
        <v>13.8875099062945</v>
      </c>
      <c r="T3" s="115">
        <f t="shared" ref="T3:V3" si="6">S9</f>
        <v>3.23074900165921e-14</v>
      </c>
      <c r="U3" s="115">
        <f t="shared" si="6"/>
        <v>3.23074900165921e-14</v>
      </c>
      <c r="V3" s="115">
        <f t="shared" si="6"/>
        <v>3.23074900165921e-14</v>
      </c>
      <c r="W3" s="115">
        <f t="shared" ref="W3" si="7">V9</f>
        <v>3.23074900165921e-14</v>
      </c>
      <c r="X3" s="115">
        <f t="shared" ref="X3" si="8">W9</f>
        <v>3.23074900165921e-14</v>
      </c>
      <c r="Y3" s="115">
        <f t="shared" ref="Y3" si="9">X9</f>
        <v>3.23074900165921e-14</v>
      </c>
      <c r="Z3" s="115"/>
      <c r="AA3" s="115"/>
      <c r="AB3" s="115"/>
      <c r="AC3" s="115"/>
    </row>
    <row r="4" spans="1:29">
      <c r="A4" s="129">
        <v>1.1</v>
      </c>
      <c r="B4" s="130" t="s">
        <v>263</v>
      </c>
      <c r="C4" s="115">
        <f>SUM(D4:AC4)</f>
        <v>147</v>
      </c>
      <c r="D4" s="115">
        <f>基础输入数据!D3*基础输入数据!K7</f>
        <v>147</v>
      </c>
      <c r="E4" s="115">
        <v>0</v>
      </c>
      <c r="F4" s="115">
        <v>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0</v>
      </c>
      <c r="N4" s="115">
        <v>0</v>
      </c>
      <c r="O4" s="115">
        <v>0</v>
      </c>
      <c r="P4" s="115">
        <v>0</v>
      </c>
      <c r="Q4" s="115">
        <v>0</v>
      </c>
      <c r="R4" s="115">
        <v>0</v>
      </c>
      <c r="S4" s="115">
        <v>0</v>
      </c>
      <c r="T4" s="115">
        <v>0</v>
      </c>
      <c r="U4" s="115">
        <v>0</v>
      </c>
      <c r="V4" s="115">
        <v>0</v>
      </c>
      <c r="W4" s="115">
        <v>0</v>
      </c>
      <c r="X4" s="115">
        <v>0</v>
      </c>
      <c r="Y4" s="115">
        <v>0</v>
      </c>
      <c r="Z4" s="115"/>
      <c r="AA4" s="115"/>
      <c r="AB4" s="115"/>
      <c r="AC4" s="115"/>
    </row>
    <row r="5" spans="1:29">
      <c r="A5" s="129">
        <v>1.2</v>
      </c>
      <c r="B5" s="130" t="s">
        <v>264</v>
      </c>
      <c r="C5" s="115">
        <f>SUM(D5:AC5)</f>
        <v>72.5407003536559</v>
      </c>
      <c r="D5" s="115">
        <f>基础输入数据!K15</f>
        <v>0.9904125</v>
      </c>
      <c r="E5" s="115">
        <f>E21</f>
        <v>7.97668323375</v>
      </c>
      <c r="F5" s="115">
        <f t="shared" ref="F5:M5" si="10">F21</f>
        <v>7.61774354344499</v>
      </c>
      <c r="G5" s="115">
        <f t="shared" si="10"/>
        <v>7.23945700383254</v>
      </c>
      <c r="H5" s="115">
        <f t="shared" si="10"/>
        <v>6.84078081973497</v>
      </c>
      <c r="I5" s="115">
        <f t="shared" si="10"/>
        <v>6.42061598931455</v>
      </c>
      <c r="J5" s="115">
        <f t="shared" si="10"/>
        <v>5.97780427453447</v>
      </c>
      <c r="K5" s="115">
        <f t="shared" si="10"/>
        <v>5.51112500832774</v>
      </c>
      <c r="L5" s="115">
        <f t="shared" si="10"/>
        <v>5.01929172967247</v>
      </c>
      <c r="M5" s="115">
        <f t="shared" si="10"/>
        <v>4.50094863729768</v>
      </c>
      <c r="N5" s="115">
        <f t="shared" ref="N5:O5" si="11">N21</f>
        <v>3.95466685224389</v>
      </c>
      <c r="O5" s="115">
        <f t="shared" si="11"/>
        <v>3.37894047897569</v>
      </c>
      <c r="P5" s="115">
        <f t="shared" ref="P5:Y5" si="12">P21</f>
        <v>2.77218245418835</v>
      </c>
      <c r="Q5" s="115">
        <f t="shared" si="12"/>
        <v>2.13272017186496</v>
      </c>
      <c r="R5" s="115">
        <f t="shared" si="12"/>
        <v>1.45879087252435</v>
      </c>
      <c r="S5" s="115">
        <f t="shared" si="12"/>
        <v>0.748536783949273</v>
      </c>
      <c r="T5" s="115">
        <f t="shared" si="12"/>
        <v>0</v>
      </c>
      <c r="U5" s="115">
        <f t="shared" si="12"/>
        <v>0</v>
      </c>
      <c r="V5" s="115">
        <f t="shared" si="12"/>
        <v>0</v>
      </c>
      <c r="W5" s="115">
        <f t="shared" si="12"/>
        <v>0</v>
      </c>
      <c r="X5" s="115">
        <f t="shared" si="12"/>
        <v>0</v>
      </c>
      <c r="Y5" s="115">
        <f t="shared" si="12"/>
        <v>0</v>
      </c>
      <c r="Z5" s="115"/>
      <c r="AA5" s="115"/>
      <c r="AB5" s="115"/>
      <c r="AC5" s="115"/>
    </row>
    <row r="6" spans="1:29">
      <c r="A6" s="129">
        <v>1.3</v>
      </c>
      <c r="B6" s="130" t="s">
        <v>265</v>
      </c>
      <c r="C6" s="115">
        <f t="shared" ref="C6:C13" si="13">SUM(D6:AC6)</f>
        <v>147.9904125</v>
      </c>
      <c r="D6" s="115"/>
      <c r="E6" s="115">
        <f>E7-E5</f>
        <v>6.65936345649373</v>
      </c>
      <c r="F6" s="115">
        <f t="shared" ref="F6:M6" si="14">F7-F5</f>
        <v>7.01830314679874</v>
      </c>
      <c r="G6" s="115">
        <f t="shared" si="14"/>
        <v>7.39658968641119</v>
      </c>
      <c r="H6" s="115">
        <f t="shared" si="14"/>
        <v>7.79526587050875</v>
      </c>
      <c r="I6" s="115">
        <f t="shared" si="14"/>
        <v>8.21543070092917</v>
      </c>
      <c r="J6" s="115">
        <f t="shared" si="14"/>
        <v>8.65824241570926</v>
      </c>
      <c r="K6" s="115">
        <f t="shared" si="14"/>
        <v>9.12492168191599</v>
      </c>
      <c r="L6" s="115">
        <f t="shared" si="14"/>
        <v>9.61675496057126</v>
      </c>
      <c r="M6" s="115">
        <f t="shared" si="14"/>
        <v>10.135098052946</v>
      </c>
      <c r="N6" s="115">
        <f t="shared" ref="N6:Y6" si="15">N7-N5</f>
        <v>10.6813798379998</v>
      </c>
      <c r="O6" s="115">
        <f t="shared" si="15"/>
        <v>11.257106211268</v>
      </c>
      <c r="P6" s="115">
        <f t="shared" si="15"/>
        <v>11.8638642360554</v>
      </c>
      <c r="Q6" s="115">
        <f t="shared" si="15"/>
        <v>12.5033265183788</v>
      </c>
      <c r="R6" s="115">
        <f t="shared" si="15"/>
        <v>13.1772558177194</v>
      </c>
      <c r="S6" s="115">
        <f t="shared" si="15"/>
        <v>13.8875099062945</v>
      </c>
      <c r="T6" s="115">
        <f t="shared" si="15"/>
        <v>0</v>
      </c>
      <c r="U6" s="115">
        <f t="shared" si="15"/>
        <v>0</v>
      </c>
      <c r="V6" s="115">
        <f t="shared" si="15"/>
        <v>0</v>
      </c>
      <c r="W6" s="115">
        <f t="shared" si="15"/>
        <v>0</v>
      </c>
      <c r="X6" s="115">
        <f t="shared" si="15"/>
        <v>0</v>
      </c>
      <c r="Y6" s="115">
        <f t="shared" si="15"/>
        <v>0</v>
      </c>
      <c r="Z6" s="115"/>
      <c r="AA6" s="115"/>
      <c r="AB6" s="115"/>
      <c r="AC6" s="115"/>
    </row>
    <row r="7" spans="1:29">
      <c r="A7" s="129">
        <v>1.4</v>
      </c>
      <c r="B7" s="130" t="s">
        <v>266</v>
      </c>
      <c r="C7" s="115"/>
      <c r="D7" s="115"/>
      <c r="E7" s="115">
        <f>IF(基础输入数据!$K$4=1,E20,IF(AND(基础输入数据!$K$4=0),E25))</f>
        <v>14.6360466902437</v>
      </c>
      <c r="F7" s="115">
        <f>IF(基础输入数据!$K$4=1,F20,IF(AND(基础输入数据!$K$4=0),F25))</f>
        <v>14.6360466902437</v>
      </c>
      <c r="G7" s="115">
        <f>IF(基础输入数据!$K$4=1,G20,IF(AND(基础输入数据!$K$4=0),G25))</f>
        <v>14.6360466902437</v>
      </c>
      <c r="H7" s="115">
        <f>IF(基础输入数据!$K$4=1,H20,IF(AND(基础输入数据!$K$4=0),H25))</f>
        <v>14.6360466902437</v>
      </c>
      <c r="I7" s="115">
        <f>IF(基础输入数据!$K$4=1,I20,IF(AND(基础输入数据!$K$4=0),I25))</f>
        <v>14.6360466902437</v>
      </c>
      <c r="J7" s="115">
        <f>IF(基础输入数据!$K$4=1,J20,IF(AND(基础输入数据!$K$4=0),J25))</f>
        <v>14.6360466902437</v>
      </c>
      <c r="K7" s="115">
        <f>IF(基础输入数据!$K$4=1,K20,IF(AND(基础输入数据!$K$4=0),K25))</f>
        <v>14.6360466902437</v>
      </c>
      <c r="L7" s="115">
        <f>IF(基础输入数据!$K$4=1,L20,IF(AND(基础输入数据!$K$4=0),L25))</f>
        <v>14.6360466902437</v>
      </c>
      <c r="M7" s="115">
        <f>IF(基础输入数据!$K$4=1,M20,IF(AND(基础输入数据!$K$4=0),M25))</f>
        <v>14.6360466902437</v>
      </c>
      <c r="N7" s="115">
        <f>IF(基础输入数据!$K$4=1,N20,IF(AND(基础输入数据!$K$4=0),N25))</f>
        <v>14.6360466902437</v>
      </c>
      <c r="O7" s="115">
        <f>IF(基础输入数据!$K$4=1,O20,IF(AND(基础输入数据!$K$4=0),O25))</f>
        <v>14.6360466902437</v>
      </c>
      <c r="P7" s="115">
        <f>IF(基础输入数据!$K$4=1,P20,IF(AND(基础输入数据!$K$4=0),P25))</f>
        <v>14.6360466902437</v>
      </c>
      <c r="Q7" s="115">
        <f>IF(基础输入数据!$K$4=1,Q20,IF(AND(基础输入数据!$K$4=0),Q25))</f>
        <v>14.6360466902437</v>
      </c>
      <c r="R7" s="115">
        <f>IF(基础输入数据!$K$4=1,R20,IF(AND(基础输入数据!$K$4=0),R25))</f>
        <v>14.6360466902437</v>
      </c>
      <c r="S7" s="115">
        <f>IF(基础输入数据!$K$4=1,S20,IF(AND(基础输入数据!$K$4=0),S25))</f>
        <v>14.6360466902437</v>
      </c>
      <c r="T7" s="115">
        <f>IF(基础输入数据!$K$4=1,T20,IF(AND(基础输入数据!$K$4=0),T25))</f>
        <v>0</v>
      </c>
      <c r="U7" s="115">
        <f>IF(基础输入数据!$K$4=1,U20,IF(AND(基础输入数据!$K$4=0),U25))</f>
        <v>0</v>
      </c>
      <c r="V7" s="115">
        <f>IF(基础输入数据!$K$4=1,V20,IF(AND(基础输入数据!$K$4=0),V25))</f>
        <v>0</v>
      </c>
      <c r="W7" s="115">
        <f>IF(基础输入数据!$K$4=1,W20,IF(AND(基础输入数据!$K$4=0),W25))</f>
        <v>0</v>
      </c>
      <c r="X7" s="115">
        <f>IF(基础输入数据!$K$4=1,X20,IF(AND(基础输入数据!$K$4=0),X25))</f>
        <v>0</v>
      </c>
      <c r="Y7" s="115">
        <f>IF(基础输入数据!$K$4=1,Y20,IF(AND(基础输入数据!$K$4=0),Y25))</f>
        <v>0</v>
      </c>
      <c r="Z7" s="115"/>
      <c r="AA7" s="115"/>
      <c r="AB7" s="115"/>
      <c r="AC7" s="115"/>
    </row>
    <row r="8" spans="1:29">
      <c r="A8" s="129">
        <v>1.5</v>
      </c>
      <c r="B8" s="130" t="s">
        <v>267</v>
      </c>
      <c r="C8" s="115">
        <f t="shared" si="13"/>
        <v>71.5502878536559</v>
      </c>
      <c r="D8" s="115"/>
      <c r="E8" s="115">
        <f>E5</f>
        <v>7.97668323375</v>
      </c>
      <c r="F8" s="115">
        <f t="shared" ref="F8:M8" si="16">F5</f>
        <v>7.61774354344499</v>
      </c>
      <c r="G8" s="115">
        <f t="shared" si="16"/>
        <v>7.23945700383254</v>
      </c>
      <c r="H8" s="115">
        <f t="shared" si="16"/>
        <v>6.84078081973497</v>
      </c>
      <c r="I8" s="115">
        <f t="shared" si="16"/>
        <v>6.42061598931455</v>
      </c>
      <c r="J8" s="115">
        <f t="shared" si="16"/>
        <v>5.97780427453447</v>
      </c>
      <c r="K8" s="115">
        <f t="shared" si="16"/>
        <v>5.51112500832774</v>
      </c>
      <c r="L8" s="115">
        <f t="shared" si="16"/>
        <v>5.01929172967247</v>
      </c>
      <c r="M8" s="115">
        <f t="shared" si="16"/>
        <v>4.50094863729768</v>
      </c>
      <c r="N8" s="115">
        <f t="shared" ref="N8:Y8" si="17">N5</f>
        <v>3.95466685224389</v>
      </c>
      <c r="O8" s="115">
        <f t="shared" si="17"/>
        <v>3.37894047897569</v>
      </c>
      <c r="P8" s="115">
        <f t="shared" si="17"/>
        <v>2.77218245418835</v>
      </c>
      <c r="Q8" s="115">
        <f t="shared" si="17"/>
        <v>2.13272017186496</v>
      </c>
      <c r="R8" s="115">
        <f t="shared" si="17"/>
        <v>1.45879087252435</v>
      </c>
      <c r="S8" s="115">
        <f t="shared" si="17"/>
        <v>0.748536783949273</v>
      </c>
      <c r="T8" s="115">
        <f t="shared" si="17"/>
        <v>0</v>
      </c>
      <c r="U8" s="115">
        <f t="shared" si="17"/>
        <v>0</v>
      </c>
      <c r="V8" s="115">
        <f t="shared" si="17"/>
        <v>0</v>
      </c>
      <c r="W8" s="115">
        <f t="shared" si="17"/>
        <v>0</v>
      </c>
      <c r="X8" s="115">
        <f t="shared" si="17"/>
        <v>0</v>
      </c>
      <c r="Y8" s="115">
        <f t="shared" si="17"/>
        <v>0</v>
      </c>
      <c r="Z8" s="115"/>
      <c r="AA8" s="115"/>
      <c r="AB8" s="115"/>
      <c r="AC8" s="115"/>
    </row>
    <row r="9" spans="1:29">
      <c r="A9" s="129">
        <v>1.6</v>
      </c>
      <c r="B9" s="130" t="s">
        <v>268</v>
      </c>
      <c r="C9" s="115"/>
      <c r="D9" s="115">
        <f>D4+D5-D6-D8</f>
        <v>147.9904125</v>
      </c>
      <c r="E9" s="115">
        <f>E3+E5-E6-E8</f>
        <v>141.331049043506</v>
      </c>
      <c r="F9" s="115">
        <f t="shared" ref="F9:M9" si="18">F3+F5-F6-F8</f>
        <v>134.312745896708</v>
      </c>
      <c r="G9" s="115">
        <f t="shared" si="18"/>
        <v>126.916156210296</v>
      </c>
      <c r="H9" s="115">
        <f t="shared" si="18"/>
        <v>119.120890339788</v>
      </c>
      <c r="I9" s="115">
        <f t="shared" si="18"/>
        <v>110.905459638858</v>
      </c>
      <c r="J9" s="115">
        <f t="shared" si="18"/>
        <v>102.247217223149</v>
      </c>
      <c r="K9" s="115">
        <f t="shared" si="18"/>
        <v>93.1222955412332</v>
      </c>
      <c r="L9" s="115">
        <f t="shared" si="18"/>
        <v>83.5055405806619</v>
      </c>
      <c r="M9" s="115">
        <f t="shared" si="18"/>
        <v>73.3704425277159</v>
      </c>
      <c r="N9" s="115">
        <f t="shared" ref="N9:Y9" si="19">N3+N5-N6-N8</f>
        <v>62.689062689716</v>
      </c>
      <c r="O9" s="115">
        <f t="shared" si="19"/>
        <v>51.431956478448</v>
      </c>
      <c r="P9" s="115">
        <f t="shared" si="19"/>
        <v>39.5680922423926</v>
      </c>
      <c r="Q9" s="115">
        <f t="shared" si="19"/>
        <v>27.0647657240139</v>
      </c>
      <c r="R9" s="115">
        <f t="shared" si="19"/>
        <v>13.8875099062945</v>
      </c>
      <c r="S9" s="115">
        <f t="shared" si="19"/>
        <v>3.23074900165921e-14</v>
      </c>
      <c r="T9" s="115">
        <f t="shared" si="19"/>
        <v>3.23074900165921e-14</v>
      </c>
      <c r="U9" s="115">
        <f t="shared" si="19"/>
        <v>3.23074900165921e-14</v>
      </c>
      <c r="V9" s="115">
        <f t="shared" si="19"/>
        <v>3.23074900165921e-14</v>
      </c>
      <c r="W9" s="115">
        <f t="shared" si="19"/>
        <v>3.23074900165921e-14</v>
      </c>
      <c r="X9" s="115">
        <f t="shared" si="19"/>
        <v>3.23074900165921e-14</v>
      </c>
      <c r="Y9" s="115">
        <f t="shared" si="19"/>
        <v>3.23074900165921e-14</v>
      </c>
      <c r="Z9" s="115"/>
      <c r="AA9" s="115"/>
      <c r="AB9" s="115"/>
      <c r="AC9" s="115"/>
    </row>
    <row r="10" spans="1:29">
      <c r="A10" s="129">
        <v>2</v>
      </c>
      <c r="B10" s="130" t="s">
        <v>269</v>
      </c>
      <c r="C10" s="115">
        <f t="shared" si="13"/>
        <v>427.568488207912</v>
      </c>
      <c r="D10" s="115"/>
      <c r="E10" s="115">
        <f t="shared" ref="E10:L10" si="20">SUM(E11:E13)</f>
        <v>20.9050349377162</v>
      </c>
      <c r="F10" s="115">
        <f t="shared" si="20"/>
        <v>23.0300217145182</v>
      </c>
      <c r="G10" s="115">
        <f t="shared" si="20"/>
        <v>24.6774564661165</v>
      </c>
      <c r="H10" s="115">
        <f t="shared" si="20"/>
        <v>25.908857405059</v>
      </c>
      <c r="I10" s="115">
        <f t="shared" si="20"/>
        <v>21.7171698947431</v>
      </c>
      <c r="J10" s="115">
        <f t="shared" si="20"/>
        <v>21.4612986187568</v>
      </c>
      <c r="K10" s="115">
        <f t="shared" si="20"/>
        <v>21.6652441599777</v>
      </c>
      <c r="L10" s="115">
        <f t="shared" si="20"/>
        <v>25.1221168871503</v>
      </c>
      <c r="M10" s="115">
        <f t="shared" ref="M10" si="21">SUM(M11:M13)</f>
        <v>28.0929615494617</v>
      </c>
      <c r="N10" s="115">
        <f t="shared" ref="N10" si="22">SUM(N11:N13)</f>
        <v>30.6452395709564</v>
      </c>
      <c r="O10" s="115">
        <f t="shared" ref="O10:P10" si="23">SUM(O11:O13)</f>
        <v>32.8406827127607</v>
      </c>
      <c r="P10" s="115">
        <f t="shared" si="23"/>
        <v>34.7359208276191</v>
      </c>
      <c r="Q10" s="115">
        <f t="shared" ref="Q10:R10" si="24">SUM(Q11:Q13)</f>
        <v>36.3830497920631</v>
      </c>
      <c r="R10" s="115">
        <f t="shared" si="24"/>
        <v>37.8301457576206</v>
      </c>
      <c r="S10" s="115">
        <f t="shared" ref="S10" si="25">SUM(S11:S13)</f>
        <v>42.5532879133921</v>
      </c>
      <c r="T10" s="115">
        <f t="shared" ref="T10" si="26">SUM(T11:T13)</f>
        <v>0</v>
      </c>
      <c r="U10" s="115">
        <f t="shared" ref="U10" si="27">SUM(U11:U13)</f>
        <v>0</v>
      </c>
      <c r="V10" s="115">
        <f t="shared" ref="V10" si="28">SUM(V11:V13)</f>
        <v>0</v>
      </c>
      <c r="W10" s="115">
        <f t="shared" ref="W10" si="29">SUM(W11:W13)</f>
        <v>0</v>
      </c>
      <c r="X10" s="115">
        <f t="shared" ref="X10" si="30">SUM(X11:X13)</f>
        <v>0</v>
      </c>
      <c r="Y10" s="115">
        <f t="shared" ref="Y10" si="31">SUM(Y11:Y13)</f>
        <v>0</v>
      </c>
      <c r="Z10" s="115"/>
      <c r="AA10" s="115"/>
      <c r="AB10" s="115"/>
      <c r="AC10" s="115"/>
    </row>
    <row r="11" spans="1:29">
      <c r="A11" s="129">
        <v>2.1</v>
      </c>
      <c r="B11" s="130" t="s">
        <v>270</v>
      </c>
      <c r="C11" s="115">
        <f t="shared" si="13"/>
        <v>223.868488207912</v>
      </c>
      <c r="D11" s="115"/>
      <c r="E11" s="115">
        <f>IF(E6&gt;0,'表5 利润与利润分配表'!D19,0)</f>
        <v>2.79490292825607</v>
      </c>
      <c r="F11" s="115">
        <f>IF(F6&gt;0,'表5 利润与利润分配表'!E19,0)</f>
        <v>5.10003527081912</v>
      </c>
      <c r="G11" s="115">
        <f>IF(G6&gt;0,'表5 利润与利润分配表'!F19,0)</f>
        <v>6.92761558817849</v>
      </c>
      <c r="H11" s="115">
        <f>IF(H6&gt;0,'表5 利润与利润分配表'!G19,0)</f>
        <v>8.33916209288198</v>
      </c>
      <c r="I11" s="115">
        <f>IF(I6&gt;0,'表5 利润与利润分配表'!H19,0)</f>
        <v>9.07062984775194</v>
      </c>
      <c r="J11" s="115">
        <f>IF(J6&gt;0,'表5 利润与利润分配表'!I19,0)</f>
        <v>9.49191808778334</v>
      </c>
      <c r="K11" s="115">
        <f>IF(K6&gt;0,'表5 利润与利润分配表'!J19,0)</f>
        <v>9.69586362900423</v>
      </c>
      <c r="L11" s="115">
        <f>IF(L6&gt;0,'表5 利润与利润分配表'!K19,0)</f>
        <v>13.1527363561769</v>
      </c>
      <c r="M11" s="115">
        <f>IF(M6&gt;0,'表5 利润与利润分配表'!L19,0)</f>
        <v>16.1235810184883</v>
      </c>
      <c r="N11" s="115">
        <f>IF(N6&gt;0,'表5 利润与利润分配表'!M19,0)</f>
        <v>18.675859039983</v>
      </c>
      <c r="O11" s="115">
        <f>IF(O6&gt;0,'表5 利润与利润分配表'!N19,0)</f>
        <v>20.8713021817873</v>
      </c>
      <c r="P11" s="115">
        <f>IF(P6&gt;0,'表5 利润与利润分配表'!O19,0)</f>
        <v>22.7665402966457</v>
      </c>
      <c r="Q11" s="115">
        <f>IF(Q6&gt;0,'表5 利润与利润分配表'!P19,0)</f>
        <v>24.4136692610896</v>
      </c>
      <c r="R11" s="115">
        <f>IF(R6&gt;0,'表5 利润与利润分配表'!Q19,0)</f>
        <v>25.8607652266472</v>
      </c>
      <c r="S11" s="115">
        <f>IF(S6&gt;0,'表5 利润与利润分配表'!R19,0)</f>
        <v>30.5839073824187</v>
      </c>
      <c r="T11" s="115">
        <f>IF(T6&gt;0,'表5 利润与利润分配表'!S19,0)</f>
        <v>0</v>
      </c>
      <c r="U11" s="115">
        <f>IF(U6&gt;0,'表5 利润与利润分配表'!T19,0)</f>
        <v>0</v>
      </c>
      <c r="V11" s="115">
        <f>IF(V6&gt;0,'表5 利润与利润分配表'!U19,0)</f>
        <v>0</v>
      </c>
      <c r="W11" s="115">
        <f>IF(W6&gt;0,'表5 利润与利润分配表'!V19,0)</f>
        <v>0</v>
      </c>
      <c r="X11" s="115">
        <f>IF(X6&gt;0,'表5 利润与利润分配表'!W19,0)</f>
        <v>0</v>
      </c>
      <c r="Y11" s="115">
        <f>IF(Y6&gt;0,'表5 利润与利润分配表'!X19,0)</f>
        <v>0</v>
      </c>
      <c r="Z11" s="115"/>
      <c r="AA11" s="115"/>
      <c r="AB11" s="115"/>
      <c r="AC11" s="115"/>
    </row>
    <row r="12" spans="1:29">
      <c r="A12" s="129">
        <v>2.2</v>
      </c>
      <c r="B12" s="130" t="s">
        <v>271</v>
      </c>
      <c r="C12" s="115">
        <f t="shared" si="13"/>
        <v>179.540707964602</v>
      </c>
      <c r="D12" s="116"/>
      <c r="E12" s="115">
        <f>'表3 固定资产折旧费估算表'!D11</f>
        <v>11.9693805309734</v>
      </c>
      <c r="F12" s="115">
        <f>'表3 固定资产折旧费估算表'!E11</f>
        <v>11.9693805309734</v>
      </c>
      <c r="G12" s="115">
        <f>'表3 固定资产折旧费估算表'!F11</f>
        <v>11.9693805309734</v>
      </c>
      <c r="H12" s="115">
        <f>'表3 固定资产折旧费估算表'!G11</f>
        <v>11.9693805309734</v>
      </c>
      <c r="I12" s="115">
        <f>'表3 固定资产折旧费估算表'!H11</f>
        <v>11.9693805309734</v>
      </c>
      <c r="J12" s="115">
        <f>'表3 固定资产折旧费估算表'!I11</f>
        <v>11.9693805309734</v>
      </c>
      <c r="K12" s="115">
        <f>'表3 固定资产折旧费估算表'!J11</f>
        <v>11.9693805309734</v>
      </c>
      <c r="L12" s="115">
        <f>'表3 固定资产折旧费估算表'!K11</f>
        <v>11.9693805309734</v>
      </c>
      <c r="M12" s="115">
        <f>'表3 固定资产折旧费估算表'!L11</f>
        <v>11.9693805309734</v>
      </c>
      <c r="N12" s="115">
        <f>'表3 固定资产折旧费估算表'!M11</f>
        <v>11.9693805309734</v>
      </c>
      <c r="O12" s="115">
        <f>'表3 固定资产折旧费估算表'!N11</f>
        <v>11.9693805309734</v>
      </c>
      <c r="P12" s="115">
        <f>'表3 固定资产折旧费估算表'!O11</f>
        <v>11.9693805309734</v>
      </c>
      <c r="Q12" s="115">
        <f>'表3 固定资产折旧费估算表'!P11</f>
        <v>11.9693805309734</v>
      </c>
      <c r="R12" s="115">
        <f>'表3 固定资产折旧费估算表'!Q11</f>
        <v>11.9693805309734</v>
      </c>
      <c r="S12" s="115">
        <f>'表3 固定资产折旧费估算表'!R11</f>
        <v>11.9693805309734</v>
      </c>
      <c r="T12" s="115">
        <f>'表3 固定资产折旧费估算表'!S11</f>
        <v>0</v>
      </c>
      <c r="U12" s="115">
        <f>'表3 固定资产折旧费估算表'!T11</f>
        <v>0</v>
      </c>
      <c r="V12" s="115">
        <f>'表3 固定资产折旧费估算表'!U11</f>
        <v>0</v>
      </c>
      <c r="W12" s="115">
        <f>'表3 固定资产折旧费估算表'!V11</f>
        <v>0</v>
      </c>
      <c r="X12" s="115">
        <f>'表3 固定资产折旧费估算表'!W11</f>
        <v>0</v>
      </c>
      <c r="Y12" s="115">
        <f>'表3 固定资产折旧费估算表'!X11</f>
        <v>0</v>
      </c>
      <c r="Z12" s="115"/>
      <c r="AA12" s="115"/>
      <c r="AB12" s="115"/>
      <c r="AC12" s="115"/>
    </row>
    <row r="13" spans="1:29">
      <c r="A13" s="129">
        <v>2.3</v>
      </c>
      <c r="B13" s="130" t="s">
        <v>272</v>
      </c>
      <c r="C13" s="115">
        <f t="shared" si="13"/>
        <v>24.1592920353982</v>
      </c>
      <c r="D13" s="117"/>
      <c r="E13" s="131">
        <f>'表2 营业收入、营业税金及附加估算表'!D26-'表2 营业收入、营业税金及附加估算表'!D25</f>
        <v>6.14075147848673</v>
      </c>
      <c r="F13" s="131">
        <f>'表2 营业收入、营业税金及附加估算表'!E26-'表2 营业收入、营业税金及附加估算表'!E25</f>
        <v>5.96060591272566</v>
      </c>
      <c r="G13" s="131">
        <f>'表2 营业收入、营业税金及附加估算表'!F26-'表2 营业收入、营业税金及附加估算表'!F25</f>
        <v>5.7804603469646</v>
      </c>
      <c r="H13" s="131">
        <f>'表2 营业收入、营业税金及附加估算表'!G26-'表2 营业收入、营业税金及附加估算表'!G25</f>
        <v>5.60031478120354</v>
      </c>
      <c r="I13" s="131">
        <f>'表2 营业收入、营业税金及附加估算表'!H26-'表2 营业收入、营业税金及附加估算表'!H25</f>
        <v>0.677159516017697</v>
      </c>
      <c r="J13" s="131">
        <f>'表2 营业收入、营业税金及附加估算表'!I26-'表2 营业收入、营业税金及附加估算表'!I25</f>
        <v>0</v>
      </c>
      <c r="K13" s="131">
        <f>'表2 营业收入、营业税金及附加估算表'!J26-'表2 营业收入、营业税金及附加估算表'!J25</f>
        <v>0</v>
      </c>
      <c r="L13" s="131">
        <f>'表2 营业收入、营业税金及附加估算表'!K26-'表2 营业收入、营业税金及附加估算表'!K25</f>
        <v>0</v>
      </c>
      <c r="M13" s="131">
        <f>'表2 营业收入、营业税金及附加估算表'!L26-'表2 营业收入、营业税金及附加估算表'!L25</f>
        <v>0</v>
      </c>
      <c r="N13" s="131">
        <f>'表2 营业收入、营业税金及附加估算表'!M26-'表2 营业收入、营业税金及附加估算表'!M25</f>
        <v>0</v>
      </c>
      <c r="O13" s="131">
        <f>'表2 营业收入、营业税金及附加估算表'!N26-'表2 营业收入、营业税金及附加估算表'!N25</f>
        <v>0</v>
      </c>
      <c r="P13" s="131">
        <f>'表2 营业收入、营业税金及附加估算表'!O26-'表2 营业收入、营业税金及附加估算表'!O25</f>
        <v>0</v>
      </c>
      <c r="Q13" s="131">
        <f>'表2 营业收入、营业税金及附加估算表'!P26-'表2 营业收入、营业税金及附加估算表'!P25</f>
        <v>0</v>
      </c>
      <c r="R13" s="131">
        <f>'表2 营业收入、营业税金及附加估算表'!Q26-'表2 营业收入、营业税金及附加估算表'!Q25</f>
        <v>0</v>
      </c>
      <c r="S13" s="131">
        <f>'表2 营业收入、营业税金及附加估算表'!R26-'表2 营业收入、营业税金及附加估算表'!R25</f>
        <v>0</v>
      </c>
      <c r="T13" s="131">
        <f>'表2 营业收入、营业税金及附加估算表'!S26-'表2 营业收入、营业税金及附加估算表'!S25</f>
        <v>0</v>
      </c>
      <c r="U13" s="131">
        <f>'表2 营业收入、营业税金及附加估算表'!T26-'表2 营业收入、营业税金及附加估算表'!T25</f>
        <v>0</v>
      </c>
      <c r="V13" s="131">
        <f>'表2 营业收入、营业税金及附加估算表'!U26-'表2 营业收入、营业税金及附加估算表'!U25</f>
        <v>0</v>
      </c>
      <c r="W13" s="131">
        <f>'表2 营业收入、营业税金及附加估算表'!V26-'表2 营业收入、营业税金及附加估算表'!V25</f>
        <v>0</v>
      </c>
      <c r="X13" s="131">
        <f>'表2 营业收入、营业税金及附加估算表'!W26-'表2 营业收入、营业税金及附加估算表'!W25</f>
        <v>0</v>
      </c>
      <c r="Y13" s="131">
        <f>'表2 营业收入、营业税金及附加估算表'!X26-'表2 营业收入、营业税金及附加估算表'!X25</f>
        <v>0</v>
      </c>
      <c r="Z13" s="131"/>
      <c r="AA13" s="131"/>
      <c r="AB13" s="131"/>
      <c r="AC13" s="131"/>
    </row>
    <row r="14" spans="1:29">
      <c r="A14" s="129">
        <v>2.4</v>
      </c>
      <c r="B14" s="130" t="s">
        <v>273</v>
      </c>
      <c r="C14" s="115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</row>
    <row r="15" spans="1:29">
      <c r="A15" s="129">
        <v>3</v>
      </c>
      <c r="B15" s="130" t="s">
        <v>274</v>
      </c>
      <c r="C15" s="132" t="s">
        <v>275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</row>
    <row r="16" spans="1:29">
      <c r="A16" s="129">
        <v>3.1</v>
      </c>
      <c r="B16" s="130" t="s">
        <v>276</v>
      </c>
      <c r="C16" s="133">
        <f>IF(SUM(E16:AC16)=0,0,SUM(E16:AC16)/基础数据!$H$28)</f>
        <v>2.12118867199407</v>
      </c>
      <c r="D16" s="117"/>
      <c r="E16" s="133">
        <f>IF(E8&gt;1,'表5 利润与利润分配表'!D20/'表6 还本付息表'!E8,0)</f>
        <v>1.51908754671748</v>
      </c>
      <c r="F16" s="133">
        <f>IF(F8&gt;1,'表5 利润与利润分配表'!E20/'表6 还本付息表'!F8,0)</f>
        <v>1.50265154623656</v>
      </c>
      <c r="G16" s="133">
        <f>IF(G8&gt;1,'表5 利润与利润分配表'!F20/'表6 还本付息表'!G8,0)</f>
        <v>1.47836283510168</v>
      </c>
      <c r="H16" s="133">
        <f>IF(H8&gt;1,'表5 利润与利润分配表'!G20/'表6 还本付息表'!H8,0)</f>
        <v>1.45572187000135</v>
      </c>
      <c r="I16" s="133">
        <f>IF(I8&gt;1,'表5 利润与利润分配表'!H20/'表6 还本付息表'!I8,0)</f>
        <v>1.36119390385095</v>
      </c>
      <c r="J16" s="133">
        <f>IF(J8&gt;1,'表5 利润与利润分配表'!I20/'表6 还本付息表'!J8,0)</f>
        <v>1.32920578360814</v>
      </c>
      <c r="K16" s="133">
        <f>IF(K8&gt;1,'表5 利润与利润分配表'!J20/'表6 还本付息表'!K8,0)</f>
        <v>1.30998237692795</v>
      </c>
      <c r="L16" s="133">
        <f>IF(L8&gt;1,'表5 利润与利润分配表'!K20/'表6 还本付息表'!L8,0)</f>
        <v>2.30650249550378</v>
      </c>
      <c r="M16" s="133">
        <f>IF(M8&gt;1,'表5 利润与利润分配表'!L20/'表6 还本付息表'!M8,0)</f>
        <v>2.41077035032181</v>
      </c>
      <c r="N16" s="133">
        <f>IF(N8&gt;1,'表5 利润与利润分配表'!M20/'表6 还本付息表'!N8,0)</f>
        <v>2.56013933015406</v>
      </c>
      <c r="O16" s="133">
        <f>IF(O8&gt;1,'表5 利润与利润分配表'!N20/'表6 还本付息表'!O8,0)</f>
        <v>2.78141708252365</v>
      </c>
      <c r="P16" s="133">
        <f>IF(P8&gt;1,'表5 利润与利润分配表'!O20/'表6 还本付息表'!P8,0)</f>
        <v>3.12821667957645</v>
      </c>
      <c r="Q16" s="133">
        <f>IF(Q8&gt;1,'表5 利润与利润分配表'!P20/'表6 还本付息表'!Q8,0)</f>
        <v>3.72563270128425</v>
      </c>
      <c r="R16" s="133">
        <f>IF(R8&gt;1,'表5 利润与利润分配表'!Q20/'表6 还本付息表'!R8,0)</f>
        <v>4.94894557810289</v>
      </c>
      <c r="S16" s="133">
        <f>IF(S8&gt;1,'表5 利润与利润分配表'!R20/'表6 还本付息表'!S8,0)</f>
        <v>0</v>
      </c>
      <c r="T16" s="133">
        <f>IF(T8&gt;1,'表5 利润与利润分配表'!S20/'表6 还本付息表'!T8,0)</f>
        <v>0</v>
      </c>
      <c r="U16" s="133">
        <f>IF(U8&gt;1,'表5 利润与利润分配表'!T20/'表6 还本付息表'!U8,0)</f>
        <v>0</v>
      </c>
      <c r="V16" s="133">
        <f>IF(V8&gt;1,'表5 利润与利润分配表'!U20/'表6 还本付息表'!V8,0)</f>
        <v>0</v>
      </c>
      <c r="W16" s="133">
        <f>IF(W8&gt;1,'表5 利润与利润分配表'!V20/'表6 还本付息表'!W8,0)</f>
        <v>0</v>
      </c>
      <c r="X16" s="133">
        <f>IF(X8&gt;1,'表5 利润与利润分配表'!W20/'表6 还本付息表'!X8,0)</f>
        <v>0</v>
      </c>
      <c r="Y16" s="133">
        <f>IF(Y8&gt;1,'表5 利润与利润分配表'!X20/'表6 还本付息表'!Y8,0)</f>
        <v>0</v>
      </c>
      <c r="Z16" s="133"/>
      <c r="AA16" s="133"/>
      <c r="AB16" s="133"/>
      <c r="AC16" s="133"/>
    </row>
    <row r="17" spans="1:29">
      <c r="A17" s="129">
        <v>3.2</v>
      </c>
      <c r="B17" s="130" t="s">
        <v>277</v>
      </c>
      <c r="C17" s="133">
        <f>IF(SUM(E17:AC17)=0,0,SUM(E17:AC17)/基础数据!$H$28)</f>
        <v>1.50636520322148</v>
      </c>
      <c r="D17" s="133"/>
      <c r="E17" s="133">
        <f>IF(E7&gt;1,('表5 利润与利润分配表'!D21-'表5 利润与利润分配表'!D10+E13)/E7,0)</f>
        <v>1.99454562827623</v>
      </c>
      <c r="F17" s="133">
        <f>IF(F7&gt;1,('表5 利润与利润分配表'!E21-'表5 利润与利润分配表'!E10+F13)/F7,0)</f>
        <v>1.94174926582449</v>
      </c>
      <c r="G17" s="133">
        <f>IF(G7&gt;1,('表5 利润与利润分配表'!F21-'表5 利润与利润分配表'!F10+G13)/G7,0)</f>
        <v>1.88484047969539</v>
      </c>
      <c r="H17" s="133">
        <f>IF(H7&gt;1,('表5 利润与利润分配表'!G21-'表5 利润与利润分配表'!G10+H13)/H7,0)</f>
        <v>1.82758341569938</v>
      </c>
      <c r="I17" s="133">
        <f>IF(I7&gt;1,('表5 利润与利润分配表'!H21-'表5 利润与利润分配表'!H10+I13)/I7,0)</f>
        <v>1.42159095228266</v>
      </c>
      <c r="J17" s="133">
        <f>IF(J7&gt;1,('表5 利润与利润分配表'!I21-'表5 利润与利润分配表'!I10+J13)/J7,0)</f>
        <v>1.32707492821787</v>
      </c>
      <c r="K17" s="133">
        <f>IF(K7&gt;1,('表5 利润与利润分配表'!J21-'表5 利润与利润分配表'!J10+K13)/K7,0)</f>
        <v>1.28188777055685</v>
      </c>
      <c r="L17" s="133">
        <f>IF(L7&gt;1,('表5 利润与利润分配表'!K21-'表5 利润与利润分配表'!K10+L13)/L7,0)</f>
        <v>1.49678124169335</v>
      </c>
      <c r="M17" s="133">
        <f>IF(M7&gt;1,('表5 利润与利润分配表'!L21-'表5 利润与利润分配表'!L10+M13)/M7,0)</f>
        <v>1.45071160826443</v>
      </c>
      <c r="N17" s="133">
        <f>IF(N7&gt;1,('表5 利润与利润分配表'!M21-'表5 利润与利润分配表'!M10+N13)/N7,0)</f>
        <v>1.40416475080654</v>
      </c>
      <c r="O17" s="133">
        <f>IF(O7&gt;1,('表5 利润与利润分配表'!N21-'表5 利润与利润分配表'!N10+O13)/O7,0)</f>
        <v>1.35711494694452</v>
      </c>
      <c r="P17" s="133">
        <f>IF(P7&gt;1,('表5 利润与利润分配表'!O21-'表5 利润与利润分配表'!O10+P13)/P7,0)</f>
        <v>1.30953508786718</v>
      </c>
      <c r="Q17" s="133">
        <f>IF(Q7&gt;1,('表5 利润与利润分配表'!P21-'表5 利润与利润分配表'!P10+Q13)/Q7,0)</f>
        <v>1.26139660359841</v>
      </c>
      <c r="R17" s="133">
        <f>IF(R7&gt;1,('表5 利润与利润分配表'!Q21-'表5 利润与利润分配表'!Q10+R13)/R7,0)</f>
        <v>1.21266938424041</v>
      </c>
      <c r="S17" s="133">
        <f>IF(S7&gt;1,('表5 利润与利润分配表'!R21-'表5 利润与利润分配表'!R10+S13)/S7,0)</f>
        <v>1.42383198435445</v>
      </c>
      <c r="T17" s="133">
        <f>IF(T7&gt;1,('表5 利润与利润分配表'!S21-'表5 利润与利润分配表'!S10+T13)/T7,0)</f>
        <v>0</v>
      </c>
      <c r="U17" s="133">
        <f>IF(U7&gt;1,('表5 利润与利润分配表'!T21-'表5 利润与利润分配表'!T10+U13)/U7,0)</f>
        <v>0</v>
      </c>
      <c r="V17" s="133">
        <f>IF(V7&gt;1,('表5 利润与利润分配表'!U21-'表5 利润与利润分配表'!U10+V13)/V7,0)</f>
        <v>0</v>
      </c>
      <c r="W17" s="133">
        <f>IF(W7&gt;1,('表5 利润与利润分配表'!V21-'表5 利润与利润分配表'!V10+W13)/W7,0)</f>
        <v>0</v>
      </c>
      <c r="X17" s="133">
        <f>IF(X7&gt;1,('表5 利润与利润分配表'!W21-'表5 利润与利润分配表'!W10+X13)/X7,0)</f>
        <v>0</v>
      </c>
      <c r="Y17" s="133">
        <f>IF(Y7&gt;1,('表5 利润与利润分配表'!X21-'表5 利润与利润分配表'!X10+Y13)/Y7,0)</f>
        <v>0</v>
      </c>
      <c r="Z17" s="133"/>
      <c r="AA17" s="133"/>
      <c r="AB17" s="133"/>
      <c r="AC17" s="133"/>
    </row>
    <row r="18" ht="15" spans="1:29">
      <c r="A18" s="134"/>
      <c r="B18" s="135" t="s">
        <v>278</v>
      </c>
      <c r="C18" s="136"/>
      <c r="D18" s="136"/>
      <c r="E18" s="136">
        <f>IF(E16&gt;0,1,0)</f>
        <v>1</v>
      </c>
      <c r="F18" s="136">
        <f t="shared" ref="F18:M18" si="32">IF(F16&gt;0,1,0)</f>
        <v>1</v>
      </c>
      <c r="G18" s="136">
        <f t="shared" si="32"/>
        <v>1</v>
      </c>
      <c r="H18" s="136">
        <f t="shared" si="32"/>
        <v>1</v>
      </c>
      <c r="I18" s="136">
        <f t="shared" si="32"/>
        <v>1</v>
      </c>
      <c r="J18" s="136">
        <f t="shared" si="32"/>
        <v>1</v>
      </c>
      <c r="K18" s="136">
        <f t="shared" si="32"/>
        <v>1</v>
      </c>
      <c r="L18" s="136">
        <f t="shared" si="32"/>
        <v>1</v>
      </c>
      <c r="M18" s="136">
        <f t="shared" si="32"/>
        <v>1</v>
      </c>
      <c r="N18" s="136">
        <f t="shared" ref="N18:Y18" si="33">IF(N16&gt;0,1,0)</f>
        <v>1</v>
      </c>
      <c r="O18" s="136">
        <f t="shared" si="33"/>
        <v>1</v>
      </c>
      <c r="P18" s="136">
        <f t="shared" si="33"/>
        <v>1</v>
      </c>
      <c r="Q18" s="136">
        <f t="shared" si="33"/>
        <v>1</v>
      </c>
      <c r="R18" s="136">
        <f t="shared" si="33"/>
        <v>1</v>
      </c>
      <c r="S18" s="136">
        <f t="shared" si="33"/>
        <v>0</v>
      </c>
      <c r="T18" s="136">
        <f t="shared" si="33"/>
        <v>0</v>
      </c>
      <c r="U18" s="136">
        <f t="shared" si="33"/>
        <v>0</v>
      </c>
      <c r="V18" s="136">
        <f t="shared" si="33"/>
        <v>0</v>
      </c>
      <c r="W18" s="136">
        <f t="shared" si="33"/>
        <v>0</v>
      </c>
      <c r="X18" s="136">
        <f t="shared" si="33"/>
        <v>0</v>
      </c>
      <c r="Y18" s="136">
        <f t="shared" si="33"/>
        <v>0</v>
      </c>
      <c r="Z18" s="136"/>
      <c r="AA18" s="136"/>
      <c r="AB18" s="136"/>
      <c r="AC18" s="136"/>
    </row>
    <row r="19" ht="15" spans="1:29">
      <c r="A19" s="137" t="s">
        <v>279</v>
      </c>
      <c r="B19" s="55"/>
      <c r="C19" s="55"/>
      <c r="D19" s="55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>
      <c r="A20" s="137"/>
      <c r="B20" s="55" t="s">
        <v>280</v>
      </c>
      <c r="C20" s="138" t="s">
        <v>266</v>
      </c>
      <c r="D20" s="139"/>
      <c r="E20" s="140">
        <f>E21+E22</f>
        <v>17.84271073375</v>
      </c>
      <c r="F20" s="140">
        <f t="shared" ref="F20:P20" si="34">F21+F22</f>
        <v>17.483771043445</v>
      </c>
      <c r="G20" s="140">
        <f t="shared" si="34"/>
        <v>17.1054845038325</v>
      </c>
      <c r="H20" s="140">
        <f t="shared" si="34"/>
        <v>16.706808319735</v>
      </c>
      <c r="I20" s="140">
        <f t="shared" si="34"/>
        <v>16.2866434893146</v>
      </c>
      <c r="J20" s="140">
        <f t="shared" si="34"/>
        <v>15.8438317745345</v>
      </c>
      <c r="K20" s="140">
        <f t="shared" si="34"/>
        <v>15.3771525083277</v>
      </c>
      <c r="L20" s="140">
        <f t="shared" si="34"/>
        <v>14.8853192296725</v>
      </c>
      <c r="M20" s="140">
        <f t="shared" si="34"/>
        <v>14.3669761372977</v>
      </c>
      <c r="N20" s="140">
        <f t="shared" si="34"/>
        <v>13.8206943522439</v>
      </c>
      <c r="O20" s="140">
        <f t="shared" si="34"/>
        <v>13.2449679789757</v>
      </c>
      <c r="P20" s="140">
        <f t="shared" si="34"/>
        <v>12.6382099541883</v>
      </c>
      <c r="Q20" s="140">
        <f>D47</f>
        <v>11.998747671865</v>
      </c>
      <c r="R20" s="140">
        <f t="shared" ref="R20:AB22" si="35">E47</f>
        <v>11.3248183725243</v>
      </c>
      <c r="S20" s="140">
        <f t="shared" si="35"/>
        <v>10.6145642839493</v>
      </c>
      <c r="T20" s="140">
        <f t="shared" si="35"/>
        <v>0</v>
      </c>
      <c r="U20" s="140">
        <f t="shared" si="35"/>
        <v>0</v>
      </c>
      <c r="V20" s="140">
        <f t="shared" si="35"/>
        <v>0</v>
      </c>
      <c r="W20" s="140">
        <f t="shared" si="35"/>
        <v>0</v>
      </c>
      <c r="X20" s="140">
        <f t="shared" si="35"/>
        <v>0</v>
      </c>
      <c r="Y20" s="140">
        <f t="shared" si="35"/>
        <v>0</v>
      </c>
      <c r="Z20" s="140">
        <f t="shared" si="35"/>
        <v>0</v>
      </c>
      <c r="AA20" s="140">
        <f t="shared" si="35"/>
        <v>0</v>
      </c>
      <c r="AB20" s="140">
        <f t="shared" si="35"/>
        <v>0</v>
      </c>
      <c r="AC20" s="140"/>
    </row>
    <row r="21" spans="1:29">
      <c r="A21" s="55"/>
      <c r="B21" s="55">
        <v>1</v>
      </c>
      <c r="C21" s="141" t="s">
        <v>264</v>
      </c>
      <c r="D21" s="142"/>
      <c r="E21" s="115">
        <f>E3*基础输入数据!$K$5</f>
        <v>7.97668323375</v>
      </c>
      <c r="F21" s="115">
        <f>F3*基础输入数据!$K$5</f>
        <v>7.61774354344499</v>
      </c>
      <c r="G21" s="115">
        <f>G3*基础输入数据!$K$5</f>
        <v>7.23945700383254</v>
      </c>
      <c r="H21" s="115">
        <f>H3*基础输入数据!$K$5</f>
        <v>6.84078081973497</v>
      </c>
      <c r="I21" s="115">
        <f>I3*基础输入数据!$K$5</f>
        <v>6.42061598931455</v>
      </c>
      <c r="J21" s="115">
        <f>J3*基础输入数据!$K$5</f>
        <v>5.97780427453447</v>
      </c>
      <c r="K21" s="115">
        <f>K3*基础输入数据!$K$5</f>
        <v>5.51112500832774</v>
      </c>
      <c r="L21" s="115">
        <f>L3*基础输入数据!$K$5</f>
        <v>5.01929172967247</v>
      </c>
      <c r="M21" s="115">
        <f>M3*基础输入数据!$K$5</f>
        <v>4.50094863729768</v>
      </c>
      <c r="N21" s="115">
        <f>N3*基础输入数据!$K$5</f>
        <v>3.95466685224389</v>
      </c>
      <c r="O21" s="115">
        <f>O3*基础输入数据!$K$5</f>
        <v>3.37894047897569</v>
      </c>
      <c r="P21" s="115">
        <f>P3*基础输入数据!$K$5</f>
        <v>2.77218245418835</v>
      </c>
      <c r="Q21" s="115">
        <f t="shared" ref="Q21:Q22" si="36">D48</f>
        <v>2.13272017186496</v>
      </c>
      <c r="R21" s="115">
        <f t="shared" si="35"/>
        <v>1.45879087252435</v>
      </c>
      <c r="S21" s="115">
        <f t="shared" si="35"/>
        <v>0.748536783949273</v>
      </c>
      <c r="T21" s="115">
        <f t="shared" si="35"/>
        <v>0</v>
      </c>
      <c r="U21" s="115">
        <f t="shared" si="35"/>
        <v>0</v>
      </c>
      <c r="V21" s="115">
        <f t="shared" si="35"/>
        <v>0</v>
      </c>
      <c r="W21" s="115">
        <f t="shared" si="35"/>
        <v>0</v>
      </c>
      <c r="X21" s="115">
        <f t="shared" si="35"/>
        <v>0</v>
      </c>
      <c r="Y21" s="115">
        <f t="shared" si="35"/>
        <v>0</v>
      </c>
      <c r="Z21" s="115">
        <f t="shared" si="35"/>
        <v>0</v>
      </c>
      <c r="AA21" s="115">
        <f t="shared" si="35"/>
        <v>0</v>
      </c>
      <c r="AB21" s="115">
        <f t="shared" si="35"/>
        <v>0</v>
      </c>
      <c r="AC21" s="115"/>
    </row>
    <row r="22" ht="15" spans="1:29">
      <c r="A22" s="55"/>
      <c r="B22" s="55"/>
      <c r="C22" s="143" t="s">
        <v>265</v>
      </c>
      <c r="D22" s="144"/>
      <c r="E22" s="120">
        <f>IF(ROUND(E3,2)&gt;0,$E$3/基础输入数据!$K$6,0)</f>
        <v>9.8660275</v>
      </c>
      <c r="F22" s="120">
        <f>IF(ROUND(F3,2)&gt;0,$E$3/基础输入数据!$K$6,0)</f>
        <v>9.8660275</v>
      </c>
      <c r="G22" s="120">
        <f>IF(ROUND(G3,2)&gt;0,$E$3/基础输入数据!$K$6,0)</f>
        <v>9.8660275</v>
      </c>
      <c r="H22" s="120">
        <f>IF(ROUND(H3,2)&gt;0,$E$3/基础输入数据!$K$6,0)</f>
        <v>9.8660275</v>
      </c>
      <c r="I22" s="120">
        <f>IF(ROUND(I3,2)&gt;0,$E$3/基础输入数据!$K$6,0)</f>
        <v>9.8660275</v>
      </c>
      <c r="J22" s="120">
        <f>IF(ROUND(J3,2)&gt;0,$E$3/基础输入数据!$K$6,0)</f>
        <v>9.8660275</v>
      </c>
      <c r="K22" s="120">
        <f>IF(ROUND(K3,2)&gt;0,$E$3/基础输入数据!$K$6,0)</f>
        <v>9.8660275</v>
      </c>
      <c r="L22" s="120">
        <f>IF(ROUND(L3,2)&gt;0,$E$3/基础输入数据!$K$6,0)</f>
        <v>9.8660275</v>
      </c>
      <c r="M22" s="120">
        <f>IF(ROUND(M3,2)&gt;0,$E$3/基础输入数据!$K$6,0)</f>
        <v>9.8660275</v>
      </c>
      <c r="N22" s="120">
        <f>IF(ROUND(N3,2)&gt;0,$E$3/基础输入数据!$K$6,0)</f>
        <v>9.8660275</v>
      </c>
      <c r="O22" s="120">
        <f>IF(ROUND(O3,2)&gt;0,$E$3/基础输入数据!$K$6,0)</f>
        <v>9.8660275</v>
      </c>
      <c r="P22" s="120">
        <f>IF(ROUND(P3,2)&gt;0,$E$3/基础输入数据!$K$6,0)</f>
        <v>9.8660275</v>
      </c>
      <c r="Q22" s="120">
        <f t="shared" si="36"/>
        <v>9.8660275</v>
      </c>
      <c r="R22" s="120">
        <f t="shared" si="35"/>
        <v>9.8660275</v>
      </c>
      <c r="S22" s="120">
        <f t="shared" si="35"/>
        <v>9.8660275</v>
      </c>
      <c r="T22" s="120">
        <f t="shared" si="35"/>
        <v>0</v>
      </c>
      <c r="U22" s="120">
        <f t="shared" si="35"/>
        <v>0</v>
      </c>
      <c r="V22" s="120">
        <f t="shared" si="35"/>
        <v>0</v>
      </c>
      <c r="W22" s="120">
        <f t="shared" si="35"/>
        <v>0</v>
      </c>
      <c r="X22" s="120">
        <f t="shared" si="35"/>
        <v>0</v>
      </c>
      <c r="Y22" s="120">
        <f t="shared" si="35"/>
        <v>0</v>
      </c>
      <c r="Z22" s="120">
        <f t="shared" si="35"/>
        <v>0</v>
      </c>
      <c r="AA22" s="120">
        <f t="shared" si="35"/>
        <v>0</v>
      </c>
      <c r="AB22" s="120">
        <f t="shared" si="35"/>
        <v>0</v>
      </c>
      <c r="AC22" s="120"/>
    </row>
    <row r="23" spans="1:29">
      <c r="A23" s="55"/>
      <c r="B23" s="55"/>
      <c r="C23" s="55"/>
      <c r="D23" s="55"/>
      <c r="E23" s="56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ht="15" spans="1:29">
      <c r="A24" s="55"/>
      <c r="B24" s="55"/>
      <c r="C24" s="55"/>
      <c r="D24" s="55"/>
      <c r="E24" s="55">
        <v>1</v>
      </c>
      <c r="F24" s="55">
        <v>2</v>
      </c>
      <c r="G24" s="55">
        <v>3</v>
      </c>
      <c r="H24" s="55">
        <v>4</v>
      </c>
      <c r="I24" s="55">
        <v>5</v>
      </c>
      <c r="J24" s="55">
        <v>6</v>
      </c>
      <c r="K24" s="55">
        <v>7</v>
      </c>
      <c r="L24" s="55">
        <v>8</v>
      </c>
      <c r="M24" s="55">
        <v>9</v>
      </c>
      <c r="N24" s="55">
        <v>10</v>
      </c>
      <c r="O24" s="55">
        <v>11</v>
      </c>
      <c r="P24" s="55">
        <v>12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>
      <c r="A25" s="55"/>
      <c r="B25" s="55" t="s">
        <v>281</v>
      </c>
      <c r="C25" s="145" t="s">
        <v>266</v>
      </c>
      <c r="D25" s="145"/>
      <c r="E25" s="140">
        <f>-PMT(基础数据!$H$26,基础数据!$H$28,'表6 还本付息表'!$E$3)</f>
        <v>14.6360466902437</v>
      </c>
      <c r="F25" s="140">
        <f>-PMT(基础数据!$H$26,基础数据!$H$28,'表6 还本付息表'!$E$3)</f>
        <v>14.6360466902437</v>
      </c>
      <c r="G25" s="140">
        <f>-PMT(基础数据!$H$26,基础数据!$H$28,'表6 还本付息表'!$E$3)</f>
        <v>14.6360466902437</v>
      </c>
      <c r="H25" s="140">
        <f>-PMT(基础数据!$H$26,基础数据!$H$28,'表6 还本付息表'!$E$3)</f>
        <v>14.6360466902437</v>
      </c>
      <c r="I25" s="140">
        <f>-PMT(基础数据!$H$26,基础数据!$H$28,'表6 还本付息表'!$E$3)</f>
        <v>14.6360466902437</v>
      </c>
      <c r="J25" s="140">
        <f>-PMT(基础数据!$H$26,基础数据!$H$28,'表6 还本付息表'!$E$3)</f>
        <v>14.6360466902437</v>
      </c>
      <c r="K25" s="140">
        <f>-PMT(基础数据!$H$26,基础数据!$H$28,'表6 还本付息表'!$E$3)</f>
        <v>14.6360466902437</v>
      </c>
      <c r="L25" s="140">
        <f>-PMT(基础数据!$H$26,基础数据!$H$28,'表6 还本付息表'!$E$3)</f>
        <v>14.6360466902437</v>
      </c>
      <c r="M25" s="140">
        <f>-PMT(基础数据!$H$26,基础数据!$H$28,'表6 还本付息表'!$E$3)</f>
        <v>14.6360466902437</v>
      </c>
      <c r="N25" s="140">
        <f>-PMT(基础数据!$H$26,基础数据!$H$28,'表6 还本付息表'!$E$3)</f>
        <v>14.6360466902437</v>
      </c>
      <c r="O25" s="140">
        <f>-PMT(基础数据!$H$26,基础数据!$H$28,'表6 还本付息表'!$E$3)</f>
        <v>14.6360466902437</v>
      </c>
      <c r="P25" s="140">
        <f>-PMT(基础数据!$H$26,基础数据!$H$28,'表6 还本付息表'!$E$3)</f>
        <v>14.6360466902437</v>
      </c>
      <c r="Q25" s="140">
        <f>D52</f>
        <v>14.6360466902437</v>
      </c>
      <c r="R25" s="140">
        <f t="shared" ref="R25:AB27" si="37">E52</f>
        <v>14.6360466902437</v>
      </c>
      <c r="S25" s="140">
        <f t="shared" si="37"/>
        <v>14.6360466902437</v>
      </c>
      <c r="T25" s="140">
        <f t="shared" si="37"/>
        <v>0</v>
      </c>
      <c r="U25" s="140">
        <f t="shared" si="37"/>
        <v>0</v>
      </c>
      <c r="V25" s="140">
        <f t="shared" si="37"/>
        <v>0</v>
      </c>
      <c r="W25" s="140">
        <f t="shared" si="37"/>
        <v>0</v>
      </c>
      <c r="X25" s="140">
        <f t="shared" si="37"/>
        <v>0</v>
      </c>
      <c r="Y25" s="140">
        <f t="shared" si="37"/>
        <v>0</v>
      </c>
      <c r="Z25" s="140">
        <f t="shared" si="37"/>
        <v>0</v>
      </c>
      <c r="AA25" s="140">
        <f t="shared" si="37"/>
        <v>0</v>
      </c>
      <c r="AB25" s="140">
        <f t="shared" si="37"/>
        <v>0</v>
      </c>
      <c r="AC25" s="140"/>
    </row>
    <row r="26" spans="1:29">
      <c r="A26" s="55"/>
      <c r="B26" s="55">
        <v>0</v>
      </c>
      <c r="C26" s="146" t="s">
        <v>264</v>
      </c>
      <c r="D26" s="146"/>
      <c r="E26" s="115">
        <f>E3*基础输入数据!$K$5</f>
        <v>7.97668323375</v>
      </c>
      <c r="F26" s="115">
        <f>F3*基础输入数据!$K$5</f>
        <v>7.61774354344499</v>
      </c>
      <c r="G26" s="115">
        <f>G3*基础输入数据!$K$5</f>
        <v>7.23945700383254</v>
      </c>
      <c r="H26" s="115">
        <f>H3*基础输入数据!$K$5</f>
        <v>6.84078081973497</v>
      </c>
      <c r="I26" s="115">
        <f>I3*基础输入数据!$K$5</f>
        <v>6.42061598931455</v>
      </c>
      <c r="J26" s="115">
        <f>J3*基础输入数据!$K$5</f>
        <v>5.97780427453447</v>
      </c>
      <c r="K26" s="115">
        <f>K3*基础输入数据!$K$5</f>
        <v>5.51112500832774</v>
      </c>
      <c r="L26" s="115">
        <f>L3*基础输入数据!$K$5</f>
        <v>5.01929172967247</v>
      </c>
      <c r="M26" s="115">
        <f>M3*基础输入数据!$K$5</f>
        <v>4.50094863729768</v>
      </c>
      <c r="N26" s="115">
        <f>N3*基础输入数据!$K$5</f>
        <v>3.95466685224389</v>
      </c>
      <c r="O26" s="115">
        <f>O3*基础输入数据!$K$5</f>
        <v>3.37894047897569</v>
      </c>
      <c r="P26" s="115">
        <f>P3*基础输入数据!$K$5</f>
        <v>2.77218245418835</v>
      </c>
      <c r="Q26" s="115">
        <f t="shared" ref="Q26:Q27" si="38">D53</f>
        <v>2.13272017186496</v>
      </c>
      <c r="R26" s="115">
        <f t="shared" si="37"/>
        <v>1.45879087252435</v>
      </c>
      <c r="S26" s="115">
        <f t="shared" si="37"/>
        <v>0.748536783949273</v>
      </c>
      <c r="T26" s="115">
        <f t="shared" si="37"/>
        <v>0</v>
      </c>
      <c r="U26" s="115">
        <f t="shared" si="37"/>
        <v>0</v>
      </c>
      <c r="V26" s="115">
        <f t="shared" si="37"/>
        <v>0</v>
      </c>
      <c r="W26" s="115">
        <f t="shared" si="37"/>
        <v>0</v>
      </c>
      <c r="X26" s="115">
        <f t="shared" si="37"/>
        <v>0</v>
      </c>
      <c r="Y26" s="115">
        <f t="shared" si="37"/>
        <v>0</v>
      </c>
      <c r="Z26" s="115">
        <f t="shared" si="37"/>
        <v>0</v>
      </c>
      <c r="AA26" s="115">
        <f t="shared" si="37"/>
        <v>0</v>
      </c>
      <c r="AB26" s="115">
        <f t="shared" si="37"/>
        <v>0</v>
      </c>
      <c r="AC26" s="115"/>
    </row>
    <row r="27" ht="15" spans="1:29">
      <c r="A27" s="55"/>
      <c r="B27" s="55"/>
      <c r="C27" s="147" t="s">
        <v>282</v>
      </c>
      <c r="D27" s="147"/>
      <c r="E27" s="120">
        <f>E25-E26</f>
        <v>6.65936345649373</v>
      </c>
      <c r="F27" s="120">
        <f>F25-F26</f>
        <v>7.01830314679874</v>
      </c>
      <c r="G27" s="120">
        <f t="shared" ref="G27:P27" si="39">G25-G26</f>
        <v>7.39658968641119</v>
      </c>
      <c r="H27" s="120">
        <f t="shared" si="39"/>
        <v>7.79526587050875</v>
      </c>
      <c r="I27" s="120">
        <f t="shared" si="39"/>
        <v>8.21543070092917</v>
      </c>
      <c r="J27" s="120">
        <f t="shared" si="39"/>
        <v>8.65824241570926</v>
      </c>
      <c r="K27" s="120">
        <f t="shared" si="39"/>
        <v>9.12492168191599</v>
      </c>
      <c r="L27" s="120">
        <f t="shared" si="39"/>
        <v>9.61675496057126</v>
      </c>
      <c r="M27" s="120">
        <f t="shared" si="39"/>
        <v>10.135098052946</v>
      </c>
      <c r="N27" s="120">
        <f t="shared" si="39"/>
        <v>10.6813798379998</v>
      </c>
      <c r="O27" s="120">
        <f t="shared" si="39"/>
        <v>11.257106211268</v>
      </c>
      <c r="P27" s="120">
        <f t="shared" si="39"/>
        <v>11.8638642360554</v>
      </c>
      <c r="Q27" s="120">
        <f t="shared" si="38"/>
        <v>12.5033265183788</v>
      </c>
      <c r="R27" s="120">
        <f t="shared" si="37"/>
        <v>13.1772558177194</v>
      </c>
      <c r="S27" s="120">
        <f t="shared" si="37"/>
        <v>13.8875099062945</v>
      </c>
      <c r="T27" s="120">
        <f t="shared" si="37"/>
        <v>0</v>
      </c>
      <c r="U27" s="120">
        <f t="shared" si="37"/>
        <v>0</v>
      </c>
      <c r="V27" s="120">
        <f t="shared" si="37"/>
        <v>0</v>
      </c>
      <c r="W27" s="120">
        <f t="shared" si="37"/>
        <v>0</v>
      </c>
      <c r="X27" s="120">
        <f t="shared" si="37"/>
        <v>0</v>
      </c>
      <c r="Y27" s="120">
        <f t="shared" si="37"/>
        <v>0</v>
      </c>
      <c r="Z27" s="120">
        <f t="shared" si="37"/>
        <v>0</v>
      </c>
      <c r="AA27" s="120">
        <f t="shared" si="37"/>
        <v>0</v>
      </c>
      <c r="AB27" s="120">
        <f t="shared" si="37"/>
        <v>0</v>
      </c>
      <c r="AC27" s="120"/>
    </row>
    <row r="28" ht="15" spans="1:29">
      <c r="A28" s="55"/>
      <c r="B28" s="55"/>
      <c r="C28" s="55"/>
      <c r="D28" s="5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>
      <c r="A29" s="32" t="s">
        <v>3</v>
      </c>
      <c r="B29" s="33" t="s">
        <v>4</v>
      </c>
      <c r="C29" s="33" t="s">
        <v>102</v>
      </c>
      <c r="D29" s="33" t="s">
        <v>170</v>
      </c>
      <c r="E29" s="33" t="s">
        <v>171</v>
      </c>
      <c r="F29" s="33" t="s">
        <v>172</v>
      </c>
      <c r="G29" s="33" t="s">
        <v>173</v>
      </c>
      <c r="H29" s="33" t="s">
        <v>174</v>
      </c>
      <c r="I29" s="33" t="s">
        <v>175</v>
      </c>
      <c r="J29" s="33" t="s">
        <v>176</v>
      </c>
      <c r="K29" s="33" t="s">
        <v>177</v>
      </c>
      <c r="L29" s="33" t="s">
        <v>178</v>
      </c>
      <c r="M29" s="33"/>
      <c r="N29" s="33"/>
      <c r="O29" s="33"/>
      <c r="P29" s="38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</row>
    <row r="30" spans="1:29">
      <c r="A30" s="129">
        <v>1</v>
      </c>
      <c r="B30" s="130" t="s">
        <v>262</v>
      </c>
      <c r="C30" s="115">
        <f>C3</f>
        <v>0</v>
      </c>
      <c r="D30" s="115">
        <f>Q3</f>
        <v>39.5680922423926</v>
      </c>
      <c r="E30" s="115">
        <f t="shared" ref="E30:L30" si="40">R3</f>
        <v>27.0647657240139</v>
      </c>
      <c r="F30" s="115">
        <f t="shared" si="40"/>
        <v>13.8875099062945</v>
      </c>
      <c r="G30" s="115">
        <f t="shared" si="40"/>
        <v>3.23074900165921e-14</v>
      </c>
      <c r="H30" s="115">
        <f t="shared" si="40"/>
        <v>3.23074900165921e-14</v>
      </c>
      <c r="I30" s="115">
        <f t="shared" si="40"/>
        <v>3.23074900165921e-14</v>
      </c>
      <c r="J30" s="115">
        <f t="shared" si="40"/>
        <v>3.23074900165921e-14</v>
      </c>
      <c r="K30" s="115">
        <f t="shared" si="40"/>
        <v>3.23074900165921e-14</v>
      </c>
      <c r="L30" s="115">
        <f t="shared" si="40"/>
        <v>3.23074900165921e-14</v>
      </c>
      <c r="M30" s="115"/>
      <c r="N30" s="115"/>
      <c r="O30" s="115"/>
      <c r="P30" s="115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</row>
    <row r="31" spans="1:29">
      <c r="A31" s="129">
        <v>1.1</v>
      </c>
      <c r="B31" s="130" t="s">
        <v>263</v>
      </c>
      <c r="C31" s="115">
        <f t="shared" ref="C31:C45" si="41">C4</f>
        <v>147</v>
      </c>
      <c r="D31" s="115">
        <f t="shared" ref="D31:D45" si="42">Q4</f>
        <v>0</v>
      </c>
      <c r="E31" s="115">
        <f t="shared" ref="E31:E45" si="43">R4</f>
        <v>0</v>
      </c>
      <c r="F31" s="115">
        <f t="shared" ref="F31:F45" si="44">S4</f>
        <v>0</v>
      </c>
      <c r="G31" s="115">
        <f t="shared" ref="G31:G45" si="45">T4</f>
        <v>0</v>
      </c>
      <c r="H31" s="115">
        <f t="shared" ref="H31:H45" si="46">U4</f>
        <v>0</v>
      </c>
      <c r="I31" s="115">
        <f t="shared" ref="I31:I45" si="47">V4</f>
        <v>0</v>
      </c>
      <c r="J31" s="115">
        <f t="shared" ref="J31:J45" si="48">W4</f>
        <v>0</v>
      </c>
      <c r="K31" s="115">
        <f t="shared" ref="K31:K45" si="49">X4</f>
        <v>0</v>
      </c>
      <c r="L31" s="115">
        <f t="shared" ref="L31:L45" si="50">Y4</f>
        <v>0</v>
      </c>
      <c r="M31" s="115"/>
      <c r="N31" s="115"/>
      <c r="O31" s="115"/>
      <c r="P31" s="115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</row>
    <row r="32" spans="1:29">
      <c r="A32" s="129">
        <v>1.2</v>
      </c>
      <c r="B32" s="130" t="s">
        <v>264</v>
      </c>
      <c r="C32" s="115">
        <f t="shared" si="41"/>
        <v>72.5407003536559</v>
      </c>
      <c r="D32" s="115">
        <f t="shared" si="42"/>
        <v>2.13272017186496</v>
      </c>
      <c r="E32" s="115">
        <f t="shared" si="43"/>
        <v>1.45879087252435</v>
      </c>
      <c r="F32" s="115">
        <f t="shared" si="44"/>
        <v>0.748536783949273</v>
      </c>
      <c r="G32" s="115">
        <f t="shared" si="45"/>
        <v>0</v>
      </c>
      <c r="H32" s="115">
        <f t="shared" si="46"/>
        <v>0</v>
      </c>
      <c r="I32" s="115">
        <f t="shared" si="47"/>
        <v>0</v>
      </c>
      <c r="J32" s="115">
        <f t="shared" si="48"/>
        <v>0</v>
      </c>
      <c r="K32" s="115">
        <f t="shared" si="49"/>
        <v>0</v>
      </c>
      <c r="L32" s="115">
        <f t="shared" si="50"/>
        <v>0</v>
      </c>
      <c r="M32" s="115"/>
      <c r="N32" s="115"/>
      <c r="O32" s="115"/>
      <c r="P32" s="115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</row>
    <row r="33" spans="1:29">
      <c r="A33" s="129">
        <v>1.3</v>
      </c>
      <c r="B33" s="130" t="s">
        <v>265</v>
      </c>
      <c r="C33" s="115">
        <f t="shared" si="41"/>
        <v>147.9904125</v>
      </c>
      <c r="D33" s="115">
        <f t="shared" si="42"/>
        <v>12.5033265183788</v>
      </c>
      <c r="E33" s="115">
        <f t="shared" si="43"/>
        <v>13.1772558177194</v>
      </c>
      <c r="F33" s="115">
        <f t="shared" si="44"/>
        <v>13.8875099062945</v>
      </c>
      <c r="G33" s="115">
        <f t="shared" si="45"/>
        <v>0</v>
      </c>
      <c r="H33" s="115">
        <f t="shared" si="46"/>
        <v>0</v>
      </c>
      <c r="I33" s="115">
        <f t="shared" si="47"/>
        <v>0</v>
      </c>
      <c r="J33" s="115">
        <f t="shared" si="48"/>
        <v>0</v>
      </c>
      <c r="K33" s="115">
        <f t="shared" si="49"/>
        <v>0</v>
      </c>
      <c r="L33" s="115">
        <f t="shared" si="50"/>
        <v>0</v>
      </c>
      <c r="M33" s="115"/>
      <c r="N33" s="115"/>
      <c r="O33" s="115"/>
      <c r="P33" s="115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</row>
    <row r="34" spans="1:29">
      <c r="A34" s="129">
        <v>1.4</v>
      </c>
      <c r="B34" s="130" t="s">
        <v>266</v>
      </c>
      <c r="C34" s="115">
        <f t="shared" si="41"/>
        <v>0</v>
      </c>
      <c r="D34" s="115">
        <f t="shared" si="42"/>
        <v>14.6360466902437</v>
      </c>
      <c r="E34" s="115">
        <f t="shared" si="43"/>
        <v>14.6360466902437</v>
      </c>
      <c r="F34" s="115">
        <f t="shared" si="44"/>
        <v>14.6360466902437</v>
      </c>
      <c r="G34" s="115">
        <f t="shared" si="45"/>
        <v>0</v>
      </c>
      <c r="H34" s="115">
        <f t="shared" si="46"/>
        <v>0</v>
      </c>
      <c r="I34" s="115">
        <f t="shared" si="47"/>
        <v>0</v>
      </c>
      <c r="J34" s="115">
        <f t="shared" si="48"/>
        <v>0</v>
      </c>
      <c r="K34" s="115">
        <f t="shared" si="49"/>
        <v>0</v>
      </c>
      <c r="L34" s="115">
        <f t="shared" si="50"/>
        <v>0</v>
      </c>
      <c r="M34" s="115"/>
      <c r="N34" s="115"/>
      <c r="O34" s="115"/>
      <c r="P34" s="115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</row>
    <row r="35" spans="1:29">
      <c r="A35" s="129">
        <v>1.5</v>
      </c>
      <c r="B35" s="130" t="s">
        <v>267</v>
      </c>
      <c r="C35" s="115">
        <f t="shared" si="41"/>
        <v>71.5502878536559</v>
      </c>
      <c r="D35" s="115">
        <f t="shared" si="42"/>
        <v>2.13272017186496</v>
      </c>
      <c r="E35" s="115">
        <f t="shared" si="43"/>
        <v>1.45879087252435</v>
      </c>
      <c r="F35" s="115">
        <f t="shared" si="44"/>
        <v>0.748536783949273</v>
      </c>
      <c r="G35" s="115">
        <f t="shared" si="45"/>
        <v>0</v>
      </c>
      <c r="H35" s="115">
        <f t="shared" si="46"/>
        <v>0</v>
      </c>
      <c r="I35" s="115">
        <f t="shared" si="47"/>
        <v>0</v>
      </c>
      <c r="J35" s="115">
        <f t="shared" si="48"/>
        <v>0</v>
      </c>
      <c r="K35" s="115">
        <f t="shared" si="49"/>
        <v>0</v>
      </c>
      <c r="L35" s="115">
        <f t="shared" si="50"/>
        <v>0</v>
      </c>
      <c r="M35" s="115"/>
      <c r="N35" s="115"/>
      <c r="O35" s="115"/>
      <c r="P35" s="115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</row>
    <row r="36" spans="1:29">
      <c r="A36" s="129">
        <v>1.6</v>
      </c>
      <c r="B36" s="130" t="s">
        <v>268</v>
      </c>
      <c r="C36" s="115">
        <f t="shared" si="41"/>
        <v>0</v>
      </c>
      <c r="D36" s="115">
        <f t="shared" si="42"/>
        <v>27.0647657240139</v>
      </c>
      <c r="E36" s="115">
        <f t="shared" si="43"/>
        <v>13.8875099062945</v>
      </c>
      <c r="F36" s="115">
        <f t="shared" si="44"/>
        <v>3.23074900165921e-14</v>
      </c>
      <c r="G36" s="115">
        <f t="shared" si="45"/>
        <v>3.23074900165921e-14</v>
      </c>
      <c r="H36" s="115">
        <f t="shared" si="46"/>
        <v>3.23074900165921e-14</v>
      </c>
      <c r="I36" s="115">
        <f t="shared" si="47"/>
        <v>3.23074900165921e-14</v>
      </c>
      <c r="J36" s="115">
        <f t="shared" si="48"/>
        <v>3.23074900165921e-14</v>
      </c>
      <c r="K36" s="115">
        <f t="shared" si="49"/>
        <v>3.23074900165921e-14</v>
      </c>
      <c r="L36" s="115">
        <f t="shared" si="50"/>
        <v>3.23074900165921e-14</v>
      </c>
      <c r="M36" s="115"/>
      <c r="N36" s="115"/>
      <c r="O36" s="115"/>
      <c r="P36" s="115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</row>
    <row r="37" spans="1:29">
      <c r="A37" s="129">
        <v>2</v>
      </c>
      <c r="B37" s="130" t="s">
        <v>269</v>
      </c>
      <c r="C37" s="115">
        <f t="shared" si="41"/>
        <v>427.568488207912</v>
      </c>
      <c r="D37" s="115">
        <f t="shared" si="42"/>
        <v>36.3830497920631</v>
      </c>
      <c r="E37" s="115">
        <f t="shared" si="43"/>
        <v>37.8301457576206</v>
      </c>
      <c r="F37" s="115">
        <f t="shared" si="44"/>
        <v>42.5532879133921</v>
      </c>
      <c r="G37" s="115">
        <f t="shared" si="45"/>
        <v>0</v>
      </c>
      <c r="H37" s="115">
        <f t="shared" si="46"/>
        <v>0</v>
      </c>
      <c r="I37" s="115">
        <f t="shared" si="47"/>
        <v>0</v>
      </c>
      <c r="J37" s="115">
        <f t="shared" si="48"/>
        <v>0</v>
      </c>
      <c r="K37" s="115">
        <f t="shared" si="49"/>
        <v>0</v>
      </c>
      <c r="L37" s="115">
        <f t="shared" si="50"/>
        <v>0</v>
      </c>
      <c r="M37" s="115"/>
      <c r="N37" s="115"/>
      <c r="O37" s="115"/>
      <c r="P37" s="115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</row>
    <row r="38" spans="1:29">
      <c r="A38" s="129">
        <v>2.1</v>
      </c>
      <c r="B38" s="130" t="s">
        <v>270</v>
      </c>
      <c r="C38" s="115">
        <f t="shared" si="41"/>
        <v>223.868488207912</v>
      </c>
      <c r="D38" s="115">
        <f t="shared" si="42"/>
        <v>24.4136692610896</v>
      </c>
      <c r="E38" s="115">
        <f t="shared" si="43"/>
        <v>25.8607652266472</v>
      </c>
      <c r="F38" s="115">
        <f t="shared" si="44"/>
        <v>30.5839073824187</v>
      </c>
      <c r="G38" s="115">
        <f t="shared" si="45"/>
        <v>0</v>
      </c>
      <c r="H38" s="115">
        <f t="shared" si="46"/>
        <v>0</v>
      </c>
      <c r="I38" s="115">
        <f t="shared" si="47"/>
        <v>0</v>
      </c>
      <c r="J38" s="115">
        <f t="shared" si="48"/>
        <v>0</v>
      </c>
      <c r="K38" s="115">
        <f t="shared" si="49"/>
        <v>0</v>
      </c>
      <c r="L38" s="115">
        <f t="shared" si="50"/>
        <v>0</v>
      </c>
      <c r="M38" s="115"/>
      <c r="N38" s="115"/>
      <c r="O38" s="115"/>
      <c r="P38" s="115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</row>
    <row r="39" spans="1:29">
      <c r="A39" s="129">
        <v>2.2</v>
      </c>
      <c r="B39" s="130" t="s">
        <v>271</v>
      </c>
      <c r="C39" s="115">
        <f t="shared" si="41"/>
        <v>179.540707964602</v>
      </c>
      <c r="D39" s="115">
        <f t="shared" si="42"/>
        <v>11.9693805309734</v>
      </c>
      <c r="E39" s="115">
        <f t="shared" si="43"/>
        <v>11.9693805309734</v>
      </c>
      <c r="F39" s="115">
        <f t="shared" si="44"/>
        <v>11.9693805309734</v>
      </c>
      <c r="G39" s="115">
        <f t="shared" si="45"/>
        <v>0</v>
      </c>
      <c r="H39" s="115">
        <f t="shared" si="46"/>
        <v>0</v>
      </c>
      <c r="I39" s="115">
        <f t="shared" si="47"/>
        <v>0</v>
      </c>
      <c r="J39" s="115">
        <f t="shared" si="48"/>
        <v>0</v>
      </c>
      <c r="K39" s="115">
        <f t="shared" si="49"/>
        <v>0</v>
      </c>
      <c r="L39" s="115">
        <f t="shared" si="50"/>
        <v>0</v>
      </c>
      <c r="M39" s="115"/>
      <c r="N39" s="115"/>
      <c r="O39" s="115"/>
      <c r="P39" s="115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</row>
    <row r="40" spans="1:29">
      <c r="A40" s="129">
        <v>2.3</v>
      </c>
      <c r="B40" s="130" t="s">
        <v>283</v>
      </c>
      <c r="C40" s="115">
        <f t="shared" si="41"/>
        <v>24.1592920353982</v>
      </c>
      <c r="D40" s="115">
        <f t="shared" si="42"/>
        <v>0</v>
      </c>
      <c r="E40" s="115">
        <f t="shared" si="43"/>
        <v>0</v>
      </c>
      <c r="F40" s="115">
        <f t="shared" si="44"/>
        <v>0</v>
      </c>
      <c r="G40" s="115">
        <f t="shared" si="45"/>
        <v>0</v>
      </c>
      <c r="H40" s="115">
        <f t="shared" si="46"/>
        <v>0</v>
      </c>
      <c r="I40" s="115">
        <f t="shared" si="47"/>
        <v>0</v>
      </c>
      <c r="J40" s="115">
        <f t="shared" si="48"/>
        <v>0</v>
      </c>
      <c r="K40" s="115">
        <f t="shared" si="49"/>
        <v>0</v>
      </c>
      <c r="L40" s="115">
        <f t="shared" si="50"/>
        <v>0</v>
      </c>
      <c r="M40" s="115"/>
      <c r="N40" s="115"/>
      <c r="O40" s="115"/>
      <c r="P40" s="115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</row>
    <row r="41" spans="1:29">
      <c r="A41" s="129">
        <v>2.4</v>
      </c>
      <c r="B41" s="130" t="s">
        <v>272</v>
      </c>
      <c r="C41" s="115">
        <f t="shared" si="41"/>
        <v>0</v>
      </c>
      <c r="D41" s="115">
        <f t="shared" si="42"/>
        <v>0</v>
      </c>
      <c r="E41" s="115">
        <f t="shared" si="43"/>
        <v>0</v>
      </c>
      <c r="F41" s="115">
        <f t="shared" si="44"/>
        <v>0</v>
      </c>
      <c r="G41" s="115">
        <f t="shared" si="45"/>
        <v>0</v>
      </c>
      <c r="H41" s="115">
        <f t="shared" si="46"/>
        <v>0</v>
      </c>
      <c r="I41" s="115">
        <f t="shared" si="47"/>
        <v>0</v>
      </c>
      <c r="J41" s="115">
        <f t="shared" si="48"/>
        <v>0</v>
      </c>
      <c r="K41" s="115">
        <f t="shared" si="49"/>
        <v>0</v>
      </c>
      <c r="L41" s="115">
        <f t="shared" si="50"/>
        <v>0</v>
      </c>
      <c r="M41" s="115"/>
      <c r="N41" s="115"/>
      <c r="O41" s="115"/>
      <c r="P41" s="115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</row>
    <row r="42" spans="1:29">
      <c r="A42" s="129">
        <v>3</v>
      </c>
      <c r="B42" s="130" t="s">
        <v>274</v>
      </c>
      <c r="C42" s="132" t="str">
        <f t="shared" si="41"/>
        <v>年均值</v>
      </c>
      <c r="D42" s="115">
        <f t="shared" si="42"/>
        <v>0</v>
      </c>
      <c r="E42" s="115">
        <f t="shared" si="43"/>
        <v>0</v>
      </c>
      <c r="F42" s="115">
        <f t="shared" si="44"/>
        <v>0</v>
      </c>
      <c r="G42" s="115">
        <f t="shared" si="45"/>
        <v>0</v>
      </c>
      <c r="H42" s="115">
        <f t="shared" si="46"/>
        <v>0</v>
      </c>
      <c r="I42" s="115">
        <f t="shared" si="47"/>
        <v>0</v>
      </c>
      <c r="J42" s="115">
        <f t="shared" si="48"/>
        <v>0</v>
      </c>
      <c r="K42" s="115">
        <f t="shared" si="49"/>
        <v>0</v>
      </c>
      <c r="L42" s="115">
        <f t="shared" si="50"/>
        <v>0</v>
      </c>
      <c r="M42" s="115"/>
      <c r="N42" s="115"/>
      <c r="O42" s="115"/>
      <c r="P42" s="115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</row>
    <row r="43" spans="1:29">
      <c r="A43" s="129">
        <v>3.1</v>
      </c>
      <c r="B43" s="130" t="s">
        <v>276</v>
      </c>
      <c r="C43" s="133">
        <f t="shared" si="41"/>
        <v>2.12118867199407</v>
      </c>
      <c r="D43" s="133">
        <f t="shared" si="42"/>
        <v>3.72563270128425</v>
      </c>
      <c r="E43" s="133">
        <f t="shared" si="43"/>
        <v>4.94894557810289</v>
      </c>
      <c r="F43" s="133">
        <f t="shared" si="44"/>
        <v>0</v>
      </c>
      <c r="G43" s="133">
        <f t="shared" si="45"/>
        <v>0</v>
      </c>
      <c r="H43" s="133">
        <f t="shared" si="46"/>
        <v>0</v>
      </c>
      <c r="I43" s="133">
        <f t="shared" si="47"/>
        <v>0</v>
      </c>
      <c r="J43" s="133">
        <f t="shared" si="48"/>
        <v>0</v>
      </c>
      <c r="K43" s="133">
        <f t="shared" si="49"/>
        <v>0</v>
      </c>
      <c r="L43" s="133">
        <f t="shared" si="50"/>
        <v>0</v>
      </c>
      <c r="M43" s="133"/>
      <c r="N43" s="133"/>
      <c r="O43" s="133"/>
      <c r="P43" s="133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</row>
    <row r="44" spans="1:29">
      <c r="A44" s="129">
        <v>3.2</v>
      </c>
      <c r="B44" s="130" t="s">
        <v>277</v>
      </c>
      <c r="C44" s="133">
        <f t="shared" si="41"/>
        <v>1.50636520322148</v>
      </c>
      <c r="D44" s="133">
        <f t="shared" si="42"/>
        <v>1.26139660359841</v>
      </c>
      <c r="E44" s="133">
        <f t="shared" si="43"/>
        <v>1.21266938424041</v>
      </c>
      <c r="F44" s="133">
        <f t="shared" si="44"/>
        <v>1.42383198435445</v>
      </c>
      <c r="G44" s="133">
        <f t="shared" si="45"/>
        <v>0</v>
      </c>
      <c r="H44" s="133">
        <f t="shared" si="46"/>
        <v>0</v>
      </c>
      <c r="I44" s="133">
        <f t="shared" si="47"/>
        <v>0</v>
      </c>
      <c r="J44" s="133">
        <f t="shared" si="48"/>
        <v>0</v>
      </c>
      <c r="K44" s="133">
        <f t="shared" si="49"/>
        <v>0</v>
      </c>
      <c r="L44" s="133">
        <f t="shared" si="50"/>
        <v>0</v>
      </c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</row>
    <row r="45" ht="15" spans="1:29">
      <c r="A45" s="134"/>
      <c r="B45" s="135" t="s">
        <v>278</v>
      </c>
      <c r="C45" s="136">
        <f t="shared" si="41"/>
        <v>0</v>
      </c>
      <c r="D45" s="136">
        <f t="shared" si="42"/>
        <v>1</v>
      </c>
      <c r="E45" s="136">
        <f t="shared" si="43"/>
        <v>1</v>
      </c>
      <c r="F45" s="136">
        <f t="shared" si="44"/>
        <v>0</v>
      </c>
      <c r="G45" s="136">
        <f t="shared" si="45"/>
        <v>0</v>
      </c>
      <c r="H45" s="136">
        <f t="shared" si="46"/>
        <v>0</v>
      </c>
      <c r="I45" s="136">
        <f t="shared" si="47"/>
        <v>0</v>
      </c>
      <c r="J45" s="136">
        <f t="shared" si="48"/>
        <v>0</v>
      </c>
      <c r="K45" s="136">
        <f t="shared" si="49"/>
        <v>0</v>
      </c>
      <c r="L45" s="136">
        <f t="shared" si="50"/>
        <v>0</v>
      </c>
      <c r="M45" s="136"/>
      <c r="N45" s="136"/>
      <c r="O45" s="136"/>
      <c r="P45" s="136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</row>
    <row r="46" ht="15" spans="1:29">
      <c r="A46" s="137" t="s">
        <v>279</v>
      </c>
      <c r="B46" s="52"/>
      <c r="C46" s="52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</row>
    <row r="47" ht="15" spans="1:29">
      <c r="A47" s="52"/>
      <c r="B47" s="55" t="s">
        <v>280</v>
      </c>
      <c r="C47" s="145" t="s">
        <v>266</v>
      </c>
      <c r="D47" s="140">
        <f>D48+D49</f>
        <v>11.998747671865</v>
      </c>
      <c r="E47" s="140">
        <f>E48+E49</f>
        <v>11.3248183725243</v>
      </c>
      <c r="F47" s="148">
        <f>F48+F49</f>
        <v>10.6145642839493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</row>
    <row r="48" spans="1:29">
      <c r="A48" s="52"/>
      <c r="B48" s="55">
        <v>1</v>
      </c>
      <c r="C48" s="146" t="s">
        <v>264</v>
      </c>
      <c r="D48" s="115">
        <f>D30*基础数据!$H$26</f>
        <v>2.13272017186496</v>
      </c>
      <c r="E48" s="115">
        <f>E30*基础数据!$H$26</f>
        <v>1.45879087252435</v>
      </c>
      <c r="F48" s="115">
        <f>F30*基础数据!$H$26</f>
        <v>0.748536783949273</v>
      </c>
      <c r="G48" s="140"/>
      <c r="H48" s="140"/>
      <c r="I48" s="148"/>
      <c r="J48" s="55"/>
      <c r="K48" s="55"/>
      <c r="L48" s="55"/>
      <c r="M48" s="55"/>
      <c r="N48" s="55"/>
      <c r="O48" s="55"/>
      <c r="P48" s="55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</row>
    <row r="49" ht="15" spans="1:29">
      <c r="A49" s="52"/>
      <c r="B49" s="55"/>
      <c r="C49" s="147" t="s">
        <v>265</v>
      </c>
      <c r="D49" s="120">
        <f>IF(ROUND(D30,2)&gt;0,$E$3/基础数据!$H$28,0)</f>
        <v>9.8660275</v>
      </c>
      <c r="E49" s="120">
        <f>IF(ROUND(E30,2)&gt;0,$E$3/基础数据!$H$28,0)</f>
        <v>9.8660275</v>
      </c>
      <c r="F49" s="120">
        <f>IF(ROUND(F30,2)&gt;0,$E$3/基础数据!$H$28,0)</f>
        <v>9.8660275</v>
      </c>
      <c r="G49" s="120"/>
      <c r="H49" s="120"/>
      <c r="I49" s="149"/>
      <c r="J49" s="55"/>
      <c r="K49" s="55"/>
      <c r="L49" s="55"/>
      <c r="M49" s="55"/>
      <c r="N49" s="55"/>
      <c r="O49" s="55"/>
      <c r="P49" s="55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</row>
    <row r="50" spans="1:29">
      <c r="A50" s="52"/>
      <c r="B50" s="55"/>
      <c r="C50" s="52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</row>
    <row r="51" ht="15" spans="1:29">
      <c r="A51" s="52"/>
      <c r="B51" s="55"/>
      <c r="C51" s="52"/>
      <c r="D51" s="55">
        <v>13</v>
      </c>
      <c r="E51" s="55">
        <v>14</v>
      </c>
      <c r="F51" s="55">
        <v>15</v>
      </c>
      <c r="G51" s="55">
        <v>16</v>
      </c>
      <c r="H51" s="55">
        <v>17</v>
      </c>
      <c r="I51" s="55">
        <v>18</v>
      </c>
      <c r="J51" s="55">
        <v>19</v>
      </c>
      <c r="K51" s="55">
        <v>20</v>
      </c>
      <c r="L51" s="55">
        <v>21</v>
      </c>
      <c r="M51" s="55">
        <v>22</v>
      </c>
      <c r="N51" s="55">
        <v>23</v>
      </c>
      <c r="O51" s="55">
        <v>24</v>
      </c>
      <c r="P51" s="55">
        <v>25</v>
      </c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</row>
    <row r="52" spans="1:29">
      <c r="A52" s="52"/>
      <c r="B52" s="55" t="s">
        <v>281</v>
      </c>
      <c r="C52" s="145" t="s">
        <v>266</v>
      </c>
      <c r="D52" s="140">
        <f>-PMT(基础数据!$H$26,基础数据!$H$28,'表6 还本付息表'!$E$3)</f>
        <v>14.6360466902437</v>
      </c>
      <c r="E52" s="140">
        <f>-PMT(基础数据!$H$26,基础数据!$H$28,'表6 还本付息表'!$E$3)</f>
        <v>14.6360466902437</v>
      </c>
      <c r="F52" s="140">
        <f>-PMT(基础数据!$H$26,基础数据!$H$28,'表6 还本付息表'!$E$3)</f>
        <v>14.6360466902437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</row>
    <row r="53" spans="1:29">
      <c r="A53" s="52"/>
      <c r="B53" s="55">
        <v>0</v>
      </c>
      <c r="C53" s="146" t="s">
        <v>264</v>
      </c>
      <c r="D53" s="115">
        <f>D30*基础数据!$H$26</f>
        <v>2.13272017186496</v>
      </c>
      <c r="E53" s="115">
        <f>E30*基础数据!$H$26</f>
        <v>1.45879087252435</v>
      </c>
      <c r="F53" s="115">
        <f>F30*基础数据!$H$26</f>
        <v>0.748536783949273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</row>
    <row r="54" ht="15" spans="1:29">
      <c r="A54" s="52"/>
      <c r="B54" s="55"/>
      <c r="C54" s="147" t="s">
        <v>282</v>
      </c>
      <c r="D54" s="120">
        <f>D52-D53</f>
        <v>12.5033265183788</v>
      </c>
      <c r="E54" s="120">
        <f>E52-E53</f>
        <v>13.1772558177194</v>
      </c>
      <c r="F54" s="149">
        <f>F52-F53</f>
        <v>13.8875099062945</v>
      </c>
      <c r="G54" s="65"/>
      <c r="H54" s="55"/>
      <c r="I54" s="55"/>
      <c r="J54" s="55"/>
      <c r="K54" s="55"/>
      <c r="L54" s="55"/>
      <c r="M54" s="55"/>
      <c r="N54" s="55"/>
      <c r="O54" s="55"/>
      <c r="P54" s="55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</row>
    <row r="58" spans="6:12">
      <c r="F58" s="10"/>
      <c r="G58" s="10"/>
      <c r="H58" s="10"/>
      <c r="I58" s="10"/>
      <c r="J58" s="10"/>
      <c r="K58" s="10"/>
      <c r="L58" s="10"/>
    </row>
    <row r="59" spans="6:12">
      <c r="F59" s="10"/>
      <c r="G59" s="10"/>
      <c r="H59" s="10"/>
      <c r="I59" s="10"/>
      <c r="J59" s="10"/>
      <c r="K59" s="10"/>
      <c r="L59" s="10"/>
    </row>
    <row r="60" spans="6:12">
      <c r="F60" s="10"/>
      <c r="G60" s="10"/>
      <c r="H60" s="10"/>
      <c r="I60" s="10"/>
      <c r="J60" s="10"/>
      <c r="K60" s="10"/>
      <c r="L60" s="10"/>
    </row>
    <row r="61" spans="6:12">
      <c r="F61" s="10"/>
      <c r="G61" s="10"/>
      <c r="H61" s="10"/>
      <c r="I61" s="10"/>
      <c r="J61" s="10"/>
      <c r="K61" s="10"/>
      <c r="L61" s="10"/>
    </row>
    <row r="62" spans="6:12">
      <c r="F62" s="10"/>
      <c r="G62" s="10"/>
      <c r="H62" s="10"/>
      <c r="I62" s="10"/>
      <c r="J62" s="10"/>
      <c r="K62" s="10"/>
      <c r="L62" s="10"/>
    </row>
    <row r="63" spans="6:12">
      <c r="F63" s="10"/>
      <c r="G63" s="10"/>
      <c r="H63" s="10"/>
      <c r="I63" s="10"/>
      <c r="J63" s="10"/>
      <c r="K63" s="10"/>
      <c r="L63" s="10"/>
    </row>
    <row r="64" spans="6:12">
      <c r="F64" s="10"/>
      <c r="G64" s="10"/>
      <c r="H64" s="10"/>
      <c r="I64" s="10"/>
      <c r="J64" s="10"/>
      <c r="K64" s="10"/>
      <c r="L64" s="10"/>
    </row>
    <row r="65" spans="6:12">
      <c r="F65" s="10"/>
      <c r="G65" s="10"/>
      <c r="H65" s="10"/>
      <c r="I65" s="10"/>
      <c r="J65" s="10"/>
      <c r="K65" s="10"/>
      <c r="L65" s="10"/>
    </row>
    <row r="66" spans="6:12">
      <c r="F66" s="10"/>
      <c r="G66" s="10"/>
      <c r="H66" s="10"/>
      <c r="I66" s="10"/>
      <c r="J66" s="10"/>
      <c r="K66" s="10"/>
      <c r="L66" s="10"/>
    </row>
    <row r="67" spans="6:12">
      <c r="F67" s="10"/>
      <c r="G67" s="10"/>
      <c r="H67" s="10"/>
      <c r="I67" s="10"/>
      <c r="J67" s="10"/>
      <c r="K67" s="10"/>
      <c r="L67" s="10"/>
    </row>
    <row r="68" spans="6:12">
      <c r="F68" s="10"/>
      <c r="G68" s="10"/>
      <c r="H68" s="10"/>
      <c r="I68" s="10"/>
      <c r="J68" s="10"/>
      <c r="K68" s="10"/>
      <c r="L68" s="10"/>
    </row>
    <row r="69" spans="6:12">
      <c r="F69" s="10"/>
      <c r="G69" s="10"/>
      <c r="H69" s="10"/>
      <c r="I69" s="10"/>
      <c r="J69" s="10"/>
      <c r="K69" s="10"/>
      <c r="L69" s="10"/>
    </row>
    <row r="70" spans="6:12">
      <c r="F70" s="10"/>
      <c r="G70" s="10"/>
      <c r="H70" s="10"/>
      <c r="I70" s="10"/>
      <c r="J70" s="10"/>
      <c r="K70" s="10"/>
      <c r="L70" s="10"/>
    </row>
    <row r="71" spans="6:12">
      <c r="F71" s="11"/>
      <c r="G71" s="12"/>
      <c r="H71" s="12"/>
      <c r="I71" s="12"/>
      <c r="J71" s="12"/>
      <c r="K71" s="12"/>
      <c r="L71" s="12"/>
    </row>
    <row r="72" spans="6:12">
      <c r="F72" s="12"/>
      <c r="G72" s="12"/>
      <c r="H72" s="12"/>
      <c r="I72" s="12"/>
      <c r="J72" s="12"/>
      <c r="K72" s="12"/>
      <c r="L72" s="12"/>
    </row>
    <row r="73" spans="6:12">
      <c r="F73" s="12"/>
      <c r="G73" s="12"/>
      <c r="H73" s="12"/>
      <c r="I73" s="12"/>
      <c r="J73" s="12"/>
      <c r="K73" s="12"/>
      <c r="L73" s="12"/>
    </row>
  </sheetData>
  <sheetProtection selectLockedCells="1" autoFilter="0"/>
  <mergeCells count="3">
    <mergeCell ref="A1:P1"/>
    <mergeCell ref="F58:L70"/>
    <mergeCell ref="F71:L7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4"/>
  <sheetViews>
    <sheetView topLeftCell="C14" workbookViewId="0">
      <selection activeCell="D52" sqref="D52:J54"/>
    </sheetView>
  </sheetViews>
  <sheetFormatPr defaultColWidth="10" defaultRowHeight="14.25"/>
  <cols>
    <col min="1" max="1" width="10" style="1"/>
    <col min="2" max="2" width="15.875" style="1" customWidth="1"/>
    <col min="3" max="16384" width="10" style="1"/>
  </cols>
  <sheetData>
    <row r="1" ht="18.75" customHeight="1" spans="1:30">
      <c r="A1" s="109" t="s">
        <v>284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52"/>
    </row>
    <row r="2" ht="15" spans="1:30">
      <c r="A2" s="110" t="s">
        <v>215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52"/>
    </row>
    <row r="3" spans="1:30">
      <c r="A3" s="17" t="s">
        <v>3</v>
      </c>
      <c r="B3" s="18" t="s">
        <v>97</v>
      </c>
      <c r="C3" s="111" t="s">
        <v>102</v>
      </c>
      <c r="D3" s="18" t="s">
        <v>128</v>
      </c>
      <c r="E3" s="18" t="s">
        <v>158</v>
      </c>
      <c r="F3" s="18" t="s">
        <v>159</v>
      </c>
      <c r="G3" s="18" t="s">
        <v>160</v>
      </c>
      <c r="H3" s="18" t="s">
        <v>161</v>
      </c>
      <c r="I3" s="18" t="s">
        <v>162</v>
      </c>
      <c r="J3" s="18" t="s">
        <v>163</v>
      </c>
      <c r="K3" s="18" t="s">
        <v>164</v>
      </c>
      <c r="L3" s="18" t="s">
        <v>165</v>
      </c>
      <c r="M3" s="18" t="s">
        <v>166</v>
      </c>
      <c r="N3" s="18" t="s">
        <v>167</v>
      </c>
      <c r="O3" s="18" t="s">
        <v>168</v>
      </c>
      <c r="P3" s="102" t="s">
        <v>169</v>
      </c>
      <c r="Q3" s="18" t="s">
        <v>170</v>
      </c>
      <c r="R3" s="18" t="s">
        <v>171</v>
      </c>
      <c r="S3" s="18" t="s">
        <v>172</v>
      </c>
      <c r="T3" s="18" t="s">
        <v>173</v>
      </c>
      <c r="U3" s="18" t="s">
        <v>174</v>
      </c>
      <c r="V3" s="18" t="s">
        <v>175</v>
      </c>
      <c r="W3" s="18" t="s">
        <v>176</v>
      </c>
      <c r="X3" s="18" t="s">
        <v>177</v>
      </c>
      <c r="Y3" s="18" t="s">
        <v>178</v>
      </c>
      <c r="Z3" s="18"/>
      <c r="AA3" s="18"/>
      <c r="AB3" s="102"/>
      <c r="AC3" s="18"/>
      <c r="AD3" s="66"/>
    </row>
    <row r="4" spans="1:30">
      <c r="A4" s="20"/>
      <c r="B4" s="21"/>
      <c r="C4" s="112"/>
      <c r="D4" s="21"/>
      <c r="E4" s="21">
        <v>1</v>
      </c>
      <c r="F4" s="21">
        <v>2</v>
      </c>
      <c r="G4" s="21">
        <v>3</v>
      </c>
      <c r="H4" s="21">
        <v>4</v>
      </c>
      <c r="I4" s="21">
        <v>5</v>
      </c>
      <c r="J4" s="21">
        <v>6</v>
      </c>
      <c r="K4" s="21">
        <v>7</v>
      </c>
      <c r="L4" s="21">
        <v>8</v>
      </c>
      <c r="M4" s="21">
        <v>9</v>
      </c>
      <c r="N4" s="21">
        <v>10</v>
      </c>
      <c r="O4" s="21">
        <v>11</v>
      </c>
      <c r="P4" s="21">
        <v>12</v>
      </c>
      <c r="Q4" s="21">
        <v>13</v>
      </c>
      <c r="R4" s="21">
        <v>14</v>
      </c>
      <c r="S4" s="21">
        <v>15</v>
      </c>
      <c r="T4" s="21">
        <v>16</v>
      </c>
      <c r="U4" s="21">
        <v>17</v>
      </c>
      <c r="V4" s="21">
        <v>18</v>
      </c>
      <c r="W4" s="21">
        <v>19</v>
      </c>
      <c r="X4" s="21">
        <v>20</v>
      </c>
      <c r="Y4" s="21">
        <v>21</v>
      </c>
      <c r="Z4" s="21"/>
      <c r="AA4" s="21"/>
      <c r="AB4" s="21"/>
      <c r="AC4" s="21"/>
      <c r="AD4" s="66"/>
    </row>
    <row r="5" spans="1:30">
      <c r="A5" s="20"/>
      <c r="B5" s="21"/>
      <c r="C5" s="112"/>
      <c r="D5" s="21"/>
      <c r="E5" s="113" t="str">
        <f t="shared" ref="E5:L5" si="0">IF(E18&lt;0,"",IF(E17&lt;E18,"",E4-E18/D17))</f>
        <v/>
      </c>
      <c r="F5" s="113" t="str">
        <f t="shared" si="0"/>
        <v/>
      </c>
      <c r="G5" s="113" t="str">
        <f t="shared" si="0"/>
        <v/>
      </c>
      <c r="H5" s="113" t="str">
        <f t="shared" si="0"/>
        <v/>
      </c>
      <c r="I5" s="113" t="str">
        <f t="shared" si="0"/>
        <v/>
      </c>
      <c r="J5" s="113">
        <f t="shared" si="0"/>
        <v>5.77954073252771</v>
      </c>
      <c r="K5" s="113" t="str">
        <f t="shared" si="0"/>
        <v/>
      </c>
      <c r="L5" s="113" t="str">
        <f t="shared" si="0"/>
        <v/>
      </c>
      <c r="M5" s="113" t="str">
        <f t="shared" ref="M5" si="1">IF(M18&lt;0,"",IF(M17&lt;M18,"",M4-M18/L17))</f>
        <v/>
      </c>
      <c r="N5" s="113" t="str">
        <f t="shared" ref="N5" si="2">IF(N18&lt;0,"",IF(N17&lt;N18,"",N4-N18/M17))</f>
        <v/>
      </c>
      <c r="O5" s="113" t="str">
        <f t="shared" ref="O5" si="3">IF(O18&lt;0,"",IF(O17&lt;O18,"",O4-O18/N17))</f>
        <v/>
      </c>
      <c r="P5" s="113" t="str">
        <f t="shared" ref="P5" si="4">IF(P18&lt;0,"",IF(P17&lt;P18,"",P4-P18/O17))</f>
        <v/>
      </c>
      <c r="Q5" s="113" t="str">
        <f t="shared" ref="Q5" si="5">IF(Q18&lt;0,"",IF(Q17&lt;Q18,"",Q4-Q18/P17))</f>
        <v/>
      </c>
      <c r="R5" s="113" t="str">
        <f t="shared" ref="R5" si="6">IF(R18&lt;0,"",IF(R17&lt;R18,"",R4-R18/Q17))</f>
        <v/>
      </c>
      <c r="S5" s="113" t="str">
        <f t="shared" ref="S5" si="7">IF(S18&lt;0,"",IF(S17&lt;S18,"",S4-S18/R17))</f>
        <v/>
      </c>
      <c r="T5" s="113" t="str">
        <f t="shared" ref="T5" si="8">IF(T18&lt;0,"",IF(T17&lt;T18,"",T4-T18/S17))</f>
        <v/>
      </c>
      <c r="U5" s="113" t="str">
        <f t="shared" ref="U5" si="9">IF(U18&lt;0,"",IF(U17&lt;U18,"",U4-U18/T17))</f>
        <v/>
      </c>
      <c r="V5" s="113" t="str">
        <f t="shared" ref="V5" si="10">IF(V18&lt;0,"",IF(V17&lt;V18,"",V4-V18/U17))</f>
        <v/>
      </c>
      <c r="W5" s="113" t="str">
        <f t="shared" ref="W5" si="11">IF(W18&lt;0,"",IF(W17&lt;W18,"",W4-W18/V17))</f>
        <v/>
      </c>
      <c r="X5" s="113" t="str">
        <f t="shared" ref="X5" si="12">IF(X18&lt;0,"",IF(X17&lt;X18,"",X4-X18/W17))</f>
        <v/>
      </c>
      <c r="Y5" s="113" t="str">
        <f t="shared" ref="Y5" si="13">IF(Y18&lt;0,"",IF(Y17&lt;Y18,"",Y4-Y18/X17))</f>
        <v/>
      </c>
      <c r="Z5" s="113"/>
      <c r="AA5" s="113"/>
      <c r="AB5" s="113"/>
      <c r="AC5" s="113"/>
      <c r="AD5" s="66"/>
    </row>
    <row r="6" spans="1:30">
      <c r="A6" s="114">
        <v>1</v>
      </c>
      <c r="B6" s="60" t="s">
        <v>285</v>
      </c>
      <c r="C6" s="115">
        <f>SUM(D6:AC6)</f>
        <v>1005.0348369706</v>
      </c>
      <c r="D6" s="115">
        <f>SUM(D7:D8)</f>
        <v>0</v>
      </c>
      <c r="E6" s="115">
        <f>SUM(E7:E8)</f>
        <v>52.0783295460261</v>
      </c>
      <c r="F6" s="115">
        <f t="shared" ref="F6:Y6" si="14">SUM(F7:F8)</f>
        <v>50.6221943634</v>
      </c>
      <c r="G6" s="115">
        <f t="shared" si="14"/>
        <v>49.0922552972739</v>
      </c>
      <c r="H6" s="115">
        <f t="shared" si="14"/>
        <v>47.5623162311478</v>
      </c>
      <c r="I6" s="115">
        <f t="shared" si="14"/>
        <v>46.0323771650217</v>
      </c>
      <c r="J6" s="115">
        <f t="shared" si="14"/>
        <v>44.5024380988957</v>
      </c>
      <c r="K6" s="115">
        <f t="shared" si="14"/>
        <v>42.9724990327696</v>
      </c>
      <c r="L6" s="115">
        <f t="shared" si="14"/>
        <v>52.1521334295261</v>
      </c>
      <c r="M6" s="115">
        <f t="shared" si="14"/>
        <v>50.6221943634</v>
      </c>
      <c r="N6" s="115">
        <f t="shared" si="14"/>
        <v>49.0922552972739</v>
      </c>
      <c r="O6" s="115">
        <f t="shared" si="14"/>
        <v>47.5623162311478</v>
      </c>
      <c r="P6" s="115">
        <f t="shared" si="14"/>
        <v>46.0323771650217</v>
      </c>
      <c r="Q6" s="115">
        <f t="shared" si="14"/>
        <v>44.5024380988957</v>
      </c>
      <c r="R6" s="115">
        <f t="shared" si="14"/>
        <v>42.9724990327696</v>
      </c>
      <c r="S6" s="115">
        <f t="shared" si="14"/>
        <v>52.1521334295261</v>
      </c>
      <c r="T6" s="115">
        <f t="shared" si="14"/>
        <v>50.6221943634</v>
      </c>
      <c r="U6" s="115">
        <f t="shared" si="14"/>
        <v>49.0922552972739</v>
      </c>
      <c r="V6" s="115">
        <f t="shared" si="14"/>
        <v>47.5623162311478</v>
      </c>
      <c r="W6" s="115">
        <f t="shared" si="14"/>
        <v>46.0323771650217</v>
      </c>
      <c r="X6" s="115">
        <f t="shared" si="14"/>
        <v>44.5024380988957</v>
      </c>
      <c r="Y6" s="115">
        <f t="shared" si="14"/>
        <v>49.2724990327696</v>
      </c>
      <c r="Z6" s="115"/>
      <c r="AA6" s="115"/>
      <c r="AB6" s="115"/>
      <c r="AC6" s="115"/>
      <c r="AD6" s="66"/>
    </row>
    <row r="7" spans="1:30">
      <c r="A7" s="114">
        <v>1.1</v>
      </c>
      <c r="B7" s="60" t="s">
        <v>192</v>
      </c>
      <c r="C7" s="115">
        <f>SUM(D7:AC7)</f>
        <v>998.734836970604</v>
      </c>
      <c r="D7" s="115"/>
      <c r="E7" s="115">
        <f>'表2 营业收入、营业税金及附加估算表'!D5</f>
        <v>52.0783295460261</v>
      </c>
      <c r="F7" s="115">
        <f>'表2 营业收入、营业税金及附加估算表'!E5</f>
        <v>50.6221943634</v>
      </c>
      <c r="G7" s="115">
        <f>'表2 营业收入、营业税金及附加估算表'!F5</f>
        <v>49.0922552972739</v>
      </c>
      <c r="H7" s="115">
        <f>'表2 营业收入、营业税金及附加估算表'!G5</f>
        <v>47.5623162311478</v>
      </c>
      <c r="I7" s="115">
        <f>'表2 营业收入、营业税金及附加估算表'!H5</f>
        <v>46.0323771650217</v>
      </c>
      <c r="J7" s="115">
        <f>'表2 营业收入、营业税金及附加估算表'!I5</f>
        <v>44.5024380988957</v>
      </c>
      <c r="K7" s="115">
        <f>'表2 营业收入、营业税金及附加估算表'!J5</f>
        <v>42.9724990327696</v>
      </c>
      <c r="L7" s="115">
        <f>'表2 营业收入、营业税金及附加估算表'!K5</f>
        <v>52.1521334295261</v>
      </c>
      <c r="M7" s="115">
        <f>'表2 营业收入、营业税金及附加估算表'!L5</f>
        <v>50.6221943634</v>
      </c>
      <c r="N7" s="115">
        <f>'表2 营业收入、营业税金及附加估算表'!M5</f>
        <v>49.0922552972739</v>
      </c>
      <c r="O7" s="115">
        <f>'表2 营业收入、营业税金及附加估算表'!N5</f>
        <v>47.5623162311478</v>
      </c>
      <c r="P7" s="115">
        <f>'表2 营业收入、营业税金及附加估算表'!O5</f>
        <v>46.0323771650217</v>
      </c>
      <c r="Q7" s="115">
        <f>'表2 营业收入、营业税金及附加估算表'!P5</f>
        <v>44.5024380988957</v>
      </c>
      <c r="R7" s="115">
        <f>'表2 营业收入、营业税金及附加估算表'!Q5</f>
        <v>42.9724990327696</v>
      </c>
      <c r="S7" s="115">
        <f>'表2 营业收入、营业税金及附加估算表'!R5</f>
        <v>52.1521334295261</v>
      </c>
      <c r="T7" s="115">
        <f>'表2 营业收入、营业税金及附加估算表'!S5</f>
        <v>50.6221943634</v>
      </c>
      <c r="U7" s="115">
        <f>'表2 营业收入、营业税金及附加估算表'!T5</f>
        <v>49.0922552972739</v>
      </c>
      <c r="V7" s="115">
        <f>'表2 营业收入、营业税金及附加估算表'!U5</f>
        <v>47.5623162311478</v>
      </c>
      <c r="W7" s="115">
        <f>'表2 营业收入、营业税金及附加估算表'!V5</f>
        <v>46.0323771650217</v>
      </c>
      <c r="X7" s="115">
        <f>'表2 营业收入、营业税金及附加估算表'!W5</f>
        <v>44.5024380988957</v>
      </c>
      <c r="Y7" s="115">
        <f>'表2 营业收入、营业税金及附加估算表'!X5</f>
        <v>42.9724990327696</v>
      </c>
      <c r="Z7" s="115"/>
      <c r="AA7" s="115"/>
      <c r="AB7" s="115"/>
      <c r="AC7" s="115"/>
      <c r="AD7" s="66"/>
    </row>
    <row r="8" spans="1:30">
      <c r="A8" s="114">
        <v>1.2</v>
      </c>
      <c r="B8" s="60" t="s">
        <v>286</v>
      </c>
      <c r="C8" s="115">
        <f>SUM(D8:AC8)</f>
        <v>6.30000000000004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>
        <f>'表3 固定资产折旧费估算表'!X14</f>
        <v>6.30000000000004</v>
      </c>
      <c r="Z8" s="115"/>
      <c r="AA8" s="115"/>
      <c r="AB8" s="115"/>
      <c r="AC8" s="115"/>
      <c r="AD8" s="66"/>
    </row>
    <row r="9" spans="1:30">
      <c r="A9" s="114">
        <v>2</v>
      </c>
      <c r="B9" s="60" t="s">
        <v>287</v>
      </c>
      <c r="C9" s="115">
        <f>SUM(D9:AC9)</f>
        <v>856.046835368841</v>
      </c>
      <c r="D9" s="115">
        <f t="shared" ref="D9:M9" si="15">SUM(D10:D16)</f>
        <v>63</v>
      </c>
      <c r="E9" s="115">
        <f t="shared" si="15"/>
        <v>37.5221132949973</v>
      </c>
      <c r="F9" s="115">
        <f t="shared" si="15"/>
        <v>36.83870813829</v>
      </c>
      <c r="G9" s="115">
        <f t="shared" si="15"/>
        <v>36.1416887230345</v>
      </c>
      <c r="H9" s="115">
        <f t="shared" si="15"/>
        <v>35.4497667189003</v>
      </c>
      <c r="I9" s="115">
        <f t="shared" si="15"/>
        <v>39.8619523032285</v>
      </c>
      <c r="J9" s="115">
        <f t="shared" si="15"/>
        <v>39.7153541782908</v>
      </c>
      <c r="K9" s="115">
        <f t="shared" si="15"/>
        <v>38.8467764614908</v>
      </c>
      <c r="L9" s="115">
        <f t="shared" si="15"/>
        <v>44.8812199812649</v>
      </c>
      <c r="M9" s="115">
        <f t="shared" si="15"/>
        <v>44.0255582210069</v>
      </c>
      <c r="N9" s="115">
        <f t="shared" ref="N9" si="16">SUM(N10:N16)</f>
        <v>43.1768811339186</v>
      </c>
      <c r="O9" s="115">
        <f t="shared" ref="O9" si="17">SUM(O10:O16)</f>
        <v>42.335565193884</v>
      </c>
      <c r="P9" s="115">
        <f t="shared" ref="P9" si="18">SUM(P10:P16)</f>
        <v>41.5020071667291</v>
      </c>
      <c r="Q9" s="115">
        <f t="shared" ref="Q9" si="19">SUM(Q10:Q16)</f>
        <v>40.6766252039582</v>
      </c>
      <c r="R9" s="115">
        <f t="shared" ref="R9" si="20">SUM(R10:R16)</f>
        <v>39.8598599954416</v>
      </c>
      <c r="S9" s="115">
        <f t="shared" ref="S9" si="21">SUM(S10:S16)</f>
        <v>45.9489087176958</v>
      </c>
      <c r="T9" s="115">
        <f t="shared" ref="T9" si="22">SUM(T10:T16)</f>
        <v>33.507093822831</v>
      </c>
      <c r="U9" s="115">
        <f t="shared" ref="U9" si="23">SUM(U10:U16)</f>
        <v>32.5218462894792</v>
      </c>
      <c r="V9" s="115">
        <f t="shared" ref="V9" si="24">SUM(V10:V16)</f>
        <v>31.5365987561275</v>
      </c>
      <c r="W9" s="115">
        <f t="shared" ref="W9" si="25">SUM(W10:W16)</f>
        <v>30.5513512227758</v>
      </c>
      <c r="X9" s="115">
        <f t="shared" ref="X9" si="26">SUM(X10:X16)</f>
        <v>29.5661036894241</v>
      </c>
      <c r="Y9" s="115">
        <f t="shared" ref="Y9" si="27">SUM(Y10:Y16)</f>
        <v>28.5808561560723</v>
      </c>
      <c r="Z9" s="115"/>
      <c r="AA9" s="115"/>
      <c r="AB9" s="115"/>
      <c r="AC9" s="115"/>
      <c r="AD9" s="66"/>
    </row>
    <row r="10" spans="1:30">
      <c r="A10" s="114">
        <v>2.1</v>
      </c>
      <c r="B10" s="60" t="s">
        <v>288</v>
      </c>
      <c r="C10" s="115">
        <f>SUM(D10:AC10)</f>
        <v>63</v>
      </c>
      <c r="D10" s="115">
        <f>基础输入数据!D3*基础输入数据!K8</f>
        <v>63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66"/>
    </row>
    <row r="11" spans="1:30">
      <c r="A11" s="114">
        <v>2.2</v>
      </c>
      <c r="B11" s="60" t="s">
        <v>289</v>
      </c>
      <c r="C11" s="115">
        <f t="shared" ref="C11:C17" si="28">SUM(D11:AC11)</f>
        <v>147.9904125</v>
      </c>
      <c r="D11" s="116"/>
      <c r="E11" s="115">
        <f>'表6 还本付息表'!E6</f>
        <v>6.65936345649373</v>
      </c>
      <c r="F11" s="115">
        <f>'表6 还本付息表'!F6</f>
        <v>7.01830314679874</v>
      </c>
      <c r="G11" s="115">
        <f>'表6 还本付息表'!G6</f>
        <v>7.39658968641119</v>
      </c>
      <c r="H11" s="115">
        <f>'表6 还本付息表'!H6</f>
        <v>7.79526587050875</v>
      </c>
      <c r="I11" s="115">
        <f>'表6 还本付息表'!I6</f>
        <v>8.21543070092917</v>
      </c>
      <c r="J11" s="115">
        <f>'表6 还本付息表'!J6</f>
        <v>8.65824241570926</v>
      </c>
      <c r="K11" s="115">
        <f>'表6 还本付息表'!K6</f>
        <v>9.12492168191599</v>
      </c>
      <c r="L11" s="115">
        <f>'表6 还本付息表'!L6</f>
        <v>9.61675496057126</v>
      </c>
      <c r="M11" s="115">
        <f>'表6 还本付息表'!M6</f>
        <v>10.135098052946</v>
      </c>
      <c r="N11" s="115">
        <f>'表6 还本付息表'!N6</f>
        <v>10.6813798379998</v>
      </c>
      <c r="O11" s="115">
        <f>'表6 还本付息表'!O6</f>
        <v>11.257106211268</v>
      </c>
      <c r="P11" s="115">
        <f>'表6 还本付息表'!P6</f>
        <v>11.8638642360554</v>
      </c>
      <c r="Q11" s="115">
        <f>'表6 还本付息表'!Q6</f>
        <v>12.5033265183788</v>
      </c>
      <c r="R11" s="115">
        <f>'表6 还本付息表'!R6</f>
        <v>13.1772558177194</v>
      </c>
      <c r="S11" s="115">
        <f>'表6 还本付息表'!S6</f>
        <v>13.8875099062945</v>
      </c>
      <c r="T11" s="115">
        <f>'表6 还本付息表'!T6</f>
        <v>0</v>
      </c>
      <c r="U11" s="115">
        <f>'表6 还本付息表'!U6</f>
        <v>0</v>
      </c>
      <c r="V11" s="115">
        <f>'表6 还本付息表'!V6</f>
        <v>0</v>
      </c>
      <c r="W11" s="115">
        <f>'表6 还本付息表'!W6</f>
        <v>0</v>
      </c>
      <c r="X11" s="115">
        <f>'表6 还本付息表'!X6</f>
        <v>0</v>
      </c>
      <c r="Y11" s="115">
        <f>'表6 还本付息表'!Y6</f>
        <v>0</v>
      </c>
      <c r="Z11" s="115"/>
      <c r="AA11" s="115"/>
      <c r="AB11" s="115"/>
      <c r="AC11" s="115"/>
      <c r="AD11" s="66"/>
    </row>
    <row r="12" spans="1:30">
      <c r="A12" s="114">
        <v>2.3</v>
      </c>
      <c r="B12" s="60" t="s">
        <v>290</v>
      </c>
      <c r="C12" s="115">
        <f t="shared" si="28"/>
        <v>71.5502878536559</v>
      </c>
      <c r="D12" s="117"/>
      <c r="E12" s="115">
        <f>'表6 还本付息表'!E8</f>
        <v>7.97668323375</v>
      </c>
      <c r="F12" s="115">
        <f>'表6 还本付息表'!F8</f>
        <v>7.61774354344499</v>
      </c>
      <c r="G12" s="115">
        <f>'表6 还本付息表'!G8</f>
        <v>7.23945700383254</v>
      </c>
      <c r="H12" s="115">
        <f>'表6 还本付息表'!H8</f>
        <v>6.84078081973497</v>
      </c>
      <c r="I12" s="115">
        <f>'表6 还本付息表'!I8</f>
        <v>6.42061598931455</v>
      </c>
      <c r="J12" s="115">
        <f>'表6 还本付息表'!J8</f>
        <v>5.97780427453447</v>
      </c>
      <c r="K12" s="115">
        <f>'表6 还本付息表'!K8</f>
        <v>5.51112500832774</v>
      </c>
      <c r="L12" s="115">
        <f>'表6 还本付息表'!L8</f>
        <v>5.01929172967247</v>
      </c>
      <c r="M12" s="115">
        <f>'表6 还本付息表'!M8</f>
        <v>4.50094863729768</v>
      </c>
      <c r="N12" s="115">
        <f>'表6 还本付息表'!N8</f>
        <v>3.95466685224389</v>
      </c>
      <c r="O12" s="115">
        <f>'表6 还本付息表'!O8</f>
        <v>3.37894047897569</v>
      </c>
      <c r="P12" s="115">
        <f>'表6 还本付息表'!P8</f>
        <v>2.77218245418835</v>
      </c>
      <c r="Q12" s="115">
        <f>'表6 还本付息表'!Q8</f>
        <v>2.13272017186496</v>
      </c>
      <c r="R12" s="115">
        <f>'表6 还本付息表'!R8</f>
        <v>1.45879087252435</v>
      </c>
      <c r="S12" s="115">
        <f>'表6 还本付息表'!S8</f>
        <v>0.748536783949273</v>
      </c>
      <c r="T12" s="115">
        <f>'表6 还本付息表'!T8</f>
        <v>0</v>
      </c>
      <c r="U12" s="115">
        <f>'表6 还本付息表'!U8</f>
        <v>0</v>
      </c>
      <c r="V12" s="115">
        <f>'表6 还本付息表'!V8</f>
        <v>0</v>
      </c>
      <c r="W12" s="115">
        <f>'表6 还本付息表'!W8</f>
        <v>0</v>
      </c>
      <c r="X12" s="115">
        <f>'表6 还本付息表'!X8</f>
        <v>0</v>
      </c>
      <c r="Y12" s="115">
        <f>'表6 还本付息表'!Y8</f>
        <v>0</v>
      </c>
      <c r="Z12" s="115"/>
      <c r="AA12" s="115"/>
      <c r="AB12" s="115"/>
      <c r="AC12" s="115"/>
      <c r="AD12" s="66"/>
    </row>
    <row r="13" spans="1:30">
      <c r="A13" s="114">
        <v>2.4</v>
      </c>
      <c r="B13" s="60" t="s">
        <v>291</v>
      </c>
      <c r="C13" s="115">
        <f t="shared" si="28"/>
        <v>420.721280107734</v>
      </c>
      <c r="D13" s="117"/>
      <c r="E13" s="115">
        <f>'表4 总成本费用估算表'!D17</f>
        <v>21.8509173720662</v>
      </c>
      <c r="F13" s="115">
        <f>'表4 总成本费用估算表'!E17</f>
        <v>21.2453938053097</v>
      </c>
      <c r="G13" s="115">
        <f>'表4 总成本费用估算表'!F17</f>
        <v>20.6398702385533</v>
      </c>
      <c r="H13" s="115">
        <f>'表4 总成本费用估算表'!G17</f>
        <v>20.0343466717969</v>
      </c>
      <c r="I13" s="115">
        <f>'表4 总成本费用估算表'!H17</f>
        <v>19.4288231050404</v>
      </c>
      <c r="J13" s="115">
        <f>'表4 总成本费用估算表'!I17</f>
        <v>18.823299538284</v>
      </c>
      <c r="K13" s="115">
        <f>'表4 总成本费用估算表'!J17</f>
        <v>18.2177759715275</v>
      </c>
      <c r="L13" s="115">
        <f>'表4 总成本费用估算表'!K17</f>
        <v>21.8509173720662</v>
      </c>
      <c r="M13" s="115">
        <f>'表4 总成本费用估算表'!L17</f>
        <v>21.2453938053097</v>
      </c>
      <c r="N13" s="115">
        <f>'表4 总成本费用估算表'!M17</f>
        <v>20.6398702385533</v>
      </c>
      <c r="O13" s="115">
        <f>'表4 总成本费用估算表'!N17</f>
        <v>20.0343466717968</v>
      </c>
      <c r="P13" s="115">
        <f>'表4 总成本费用估算表'!O17</f>
        <v>19.4288231050404</v>
      </c>
      <c r="Q13" s="115">
        <f>'表4 总成本费用估算表'!P17</f>
        <v>18.823299538284</v>
      </c>
      <c r="R13" s="115">
        <f>'表4 总成本费用估算表'!Q17</f>
        <v>18.2177759715275</v>
      </c>
      <c r="S13" s="115">
        <f>'表4 总成本费用估算表'!R17</f>
        <v>21.8509173720662</v>
      </c>
      <c r="T13" s="115">
        <f>'表4 总成本费用估算表'!S17</f>
        <v>21.2453938053097</v>
      </c>
      <c r="U13" s="115">
        <f>'表4 总成本费用估算表'!T17</f>
        <v>20.6398702385533</v>
      </c>
      <c r="V13" s="115">
        <f>'表4 总成本费用估算表'!U17</f>
        <v>20.0343466717969</v>
      </c>
      <c r="W13" s="115">
        <f>'表4 总成本费用估算表'!V17</f>
        <v>19.4288231050404</v>
      </c>
      <c r="X13" s="115">
        <f>'表4 总成本费用估算表'!W17</f>
        <v>18.823299538284</v>
      </c>
      <c r="Y13" s="115">
        <f>'表4 总成本费用估算表'!X17</f>
        <v>18.2177759715275</v>
      </c>
      <c r="Z13" s="115"/>
      <c r="AA13" s="115"/>
      <c r="AB13" s="115"/>
      <c r="AC13" s="115"/>
      <c r="AD13" s="66"/>
    </row>
    <row r="14" spans="1:30">
      <c r="A14" s="114">
        <v>2.5</v>
      </c>
      <c r="B14" s="60" t="s">
        <v>292</v>
      </c>
      <c r="C14" s="115">
        <f t="shared" si="28"/>
        <v>9.34473183698761</v>
      </c>
      <c r="D14" s="117"/>
      <c r="E14" s="115">
        <f>'表2 营业收入、营业税金及附加估算表'!D19</f>
        <v>0</v>
      </c>
      <c r="F14" s="115">
        <f>'表2 营业收入、营业税金及附加估算表'!E19</f>
        <v>0</v>
      </c>
      <c r="G14" s="115">
        <f>'表2 营业收入、营业税金及附加估算表'!F19</f>
        <v>0</v>
      </c>
      <c r="H14" s="115">
        <f>'表2 营业收入、营业税金及附加估算表'!G19</f>
        <v>0</v>
      </c>
      <c r="I14" s="115">
        <f>'表2 营业收入、营业税金及附加估算表'!H19</f>
        <v>0.474300969942478</v>
      </c>
      <c r="J14" s="115">
        <f>'表2 营业收入、营业税金及附加估算表'!I19</f>
        <v>0.524002364968142</v>
      </c>
      <c r="K14" s="115">
        <f>'表2 营业收入、营业税金及附加估算表'!J19</f>
        <v>0.505987808392036</v>
      </c>
      <c r="L14" s="115">
        <f>'表2 营业收入、营业税金及附加估算表'!K19</f>
        <v>0.614075147848673</v>
      </c>
      <c r="M14" s="115">
        <f>'表2 营业收入、营业税金及附加估算表'!L19</f>
        <v>0.596060591272566</v>
      </c>
      <c r="N14" s="115">
        <f>'表2 营业收入、营业税金及附加估算表'!M19</f>
        <v>0.57804603469646</v>
      </c>
      <c r="O14" s="115">
        <f>'表2 营业收入、营业税金及附加估算表'!N19</f>
        <v>0.560031478120354</v>
      </c>
      <c r="P14" s="115">
        <f>'表2 营业收入、营业税金及附加估算表'!O19</f>
        <v>0.542016921544248</v>
      </c>
      <c r="Q14" s="115">
        <f>'表2 营业收入、营业税金及附加估算表'!P19</f>
        <v>0.524002364968142</v>
      </c>
      <c r="R14" s="115">
        <f>'表2 营业收入、营业税金及附加估算表'!Q19</f>
        <v>0.505987808392036</v>
      </c>
      <c r="S14" s="115">
        <f>'表2 营业收入、营业税金及附加估算表'!R19</f>
        <v>0.614075147848673</v>
      </c>
      <c r="T14" s="115">
        <f>'表2 营业收入、营业税金及附加估算表'!S19</f>
        <v>0.596060591272566</v>
      </c>
      <c r="U14" s="115">
        <f>'表2 营业收入、营业税金及附加估算表'!T19</f>
        <v>0.57804603469646</v>
      </c>
      <c r="V14" s="115">
        <f>'表2 营业收入、营业税金及附加估算表'!U19</f>
        <v>0.560031478120354</v>
      </c>
      <c r="W14" s="115">
        <f>'表2 营业收入、营业税金及附加估算表'!V19</f>
        <v>0.542016921544248</v>
      </c>
      <c r="X14" s="115">
        <f>'表2 营业收入、营业税金及附加估算表'!W19</f>
        <v>0.524002364968142</v>
      </c>
      <c r="Y14" s="115">
        <f>'表2 营业收入、营业税金及附加估算表'!X19</f>
        <v>0.505987808392036</v>
      </c>
      <c r="Z14" s="115"/>
      <c r="AA14" s="115"/>
      <c r="AB14" s="115"/>
      <c r="AC14" s="115"/>
      <c r="AD14" s="66"/>
    </row>
    <row r="15" spans="1:30">
      <c r="A15" s="114">
        <v>2.6</v>
      </c>
      <c r="B15" s="60" t="s">
        <v>212</v>
      </c>
      <c r="C15" s="115">
        <f t="shared" si="28"/>
        <v>93.4473183698761</v>
      </c>
      <c r="D15" s="117"/>
      <c r="E15" s="115">
        <f>'表2 营业收入、营业税金及附加估算表'!D25</f>
        <v>0</v>
      </c>
      <c r="F15" s="115">
        <f>'表2 营业收入、营业税金及附加估算表'!E25</f>
        <v>0</v>
      </c>
      <c r="G15" s="115">
        <f>'表2 营业收入、营业税金及附加估算表'!F25</f>
        <v>0</v>
      </c>
      <c r="H15" s="115">
        <f>'表2 营业收入、营业税金及附加估算表'!G25</f>
        <v>0</v>
      </c>
      <c r="I15" s="115">
        <f>'表2 营业收入、营业税金及附加估算表'!H25</f>
        <v>4.74300969942478</v>
      </c>
      <c r="J15" s="115">
        <f>'表2 营业收入、营业税金及附加估算表'!I25</f>
        <v>5.24002364968142</v>
      </c>
      <c r="K15" s="115">
        <f>'表2 营业收入、营业税金及附加估算表'!J25</f>
        <v>5.05987808392036</v>
      </c>
      <c r="L15" s="115">
        <f>'表2 营业收入、营业税金及附加估算表'!K25</f>
        <v>6.14075147848673</v>
      </c>
      <c r="M15" s="115">
        <f>'表2 营业收入、营业税金及附加估算表'!L25</f>
        <v>5.96060591272566</v>
      </c>
      <c r="N15" s="115">
        <f>'表2 营业收入、营业税金及附加估算表'!M25</f>
        <v>5.7804603469646</v>
      </c>
      <c r="O15" s="115">
        <f>'表2 营业收入、营业税金及附加估算表'!N25</f>
        <v>5.60031478120354</v>
      </c>
      <c r="P15" s="115">
        <f>'表2 营业收入、营业税金及附加估算表'!O25</f>
        <v>5.42016921544248</v>
      </c>
      <c r="Q15" s="115">
        <f>'表2 营业收入、营业税金及附加估算表'!P25</f>
        <v>5.24002364968142</v>
      </c>
      <c r="R15" s="115">
        <f>'表2 营业收入、营业税金及附加估算表'!Q25</f>
        <v>5.05987808392036</v>
      </c>
      <c r="S15" s="115">
        <f>'表2 营业收入、营业税金及附加估算表'!R25</f>
        <v>6.14075147848673</v>
      </c>
      <c r="T15" s="115">
        <f>'表2 营业收入、营业税金及附加估算表'!S25</f>
        <v>5.96060591272566</v>
      </c>
      <c r="U15" s="115">
        <f>'表2 营业收入、营业税金及附加估算表'!T25</f>
        <v>5.7804603469646</v>
      </c>
      <c r="V15" s="115">
        <f>'表2 营业收入、营业税金及附加估算表'!U25</f>
        <v>5.60031478120354</v>
      </c>
      <c r="W15" s="115">
        <f>'表2 营业收入、营业税金及附加估算表'!V25</f>
        <v>5.42016921544248</v>
      </c>
      <c r="X15" s="115">
        <f>'表2 营业收入、营业税金及附加估算表'!W25</f>
        <v>5.24002364968142</v>
      </c>
      <c r="Y15" s="115">
        <f>'表2 营业收入、营业税金及附加估算表'!X25</f>
        <v>5.05987808392036</v>
      </c>
      <c r="Z15" s="115"/>
      <c r="AA15" s="115"/>
      <c r="AB15" s="115"/>
      <c r="AC15" s="115"/>
      <c r="AD15" s="66"/>
    </row>
    <row r="16" spans="1:30">
      <c r="A16" s="114">
        <v>2.7</v>
      </c>
      <c r="B16" s="60" t="s">
        <v>246</v>
      </c>
      <c r="C16" s="115">
        <f t="shared" si="28"/>
        <v>49.9928047005877</v>
      </c>
      <c r="D16" s="117"/>
      <c r="E16" s="115">
        <f>'表5 利润与利润分配表'!D10</f>
        <v>1.03514923268743</v>
      </c>
      <c r="F16" s="115">
        <f>'表5 利润与利润分配表'!E10</f>
        <v>0.957267642736541</v>
      </c>
      <c r="G16" s="115">
        <f>'表5 利润与利润分配表'!F10</f>
        <v>0.865771794237512</v>
      </c>
      <c r="H16" s="115">
        <f>'表5 利润与利润分配表'!G10</f>
        <v>0.779373356859754</v>
      </c>
      <c r="I16" s="115">
        <f>'表5 利润与利润分配表'!H10</f>
        <v>0.579771838577095</v>
      </c>
      <c r="J16" s="115">
        <f>'表5 利润与利润分配表'!I10</f>
        <v>0.491981935113554</v>
      </c>
      <c r="K16" s="115">
        <f>'表5 利润与利润分配表'!J10</f>
        <v>0.42708790740712</v>
      </c>
      <c r="L16" s="115">
        <f>'表5 利润与利润分配表'!K10</f>
        <v>1.63942929261965</v>
      </c>
      <c r="M16" s="115">
        <f>'表5 利润与利润分配表'!L10</f>
        <v>1.58745122145523</v>
      </c>
      <c r="N16" s="115">
        <f>'表5 利润与利润分配表'!M10</f>
        <v>1.54245782346056</v>
      </c>
      <c r="O16" s="115">
        <f>'表5 利润与利润分配表'!N10</f>
        <v>1.50482557251949</v>
      </c>
      <c r="P16" s="115">
        <f>'表5 利润与利润分配表'!O10</f>
        <v>1.4749512344582</v>
      </c>
      <c r="Q16" s="115">
        <f>'表5 利润与利润分配表'!P10</f>
        <v>1.45325296078093</v>
      </c>
      <c r="R16" s="115">
        <f>'表5 利润与利润分配表'!Q10</f>
        <v>1.44017144135797</v>
      </c>
      <c r="S16" s="115">
        <f>'表5 利润与利润分配表'!R10</f>
        <v>2.70711802905045</v>
      </c>
      <c r="T16" s="115">
        <f>'表5 利润与利润分配表'!S10</f>
        <v>5.70503351352301</v>
      </c>
      <c r="U16" s="115">
        <f>'表5 利润与利润分配表'!T10</f>
        <v>5.52346966926489</v>
      </c>
      <c r="V16" s="115">
        <f>'表5 利润与利润分配表'!U10</f>
        <v>5.34190582500677</v>
      </c>
      <c r="W16" s="115">
        <f>'表5 利润与利润分配表'!V10</f>
        <v>5.16034198074865</v>
      </c>
      <c r="X16" s="115">
        <f>'表5 利润与利润分配表'!W10</f>
        <v>4.97877813649053</v>
      </c>
      <c r="Y16" s="115">
        <f>'表5 利润与利润分配表'!X10</f>
        <v>4.79721429223242</v>
      </c>
      <c r="Z16" s="115"/>
      <c r="AA16" s="115"/>
      <c r="AB16" s="115"/>
      <c r="AC16" s="115"/>
      <c r="AD16" s="66"/>
    </row>
    <row r="17" spans="1:30">
      <c r="A17" s="114">
        <v>3</v>
      </c>
      <c r="B17" s="60" t="s">
        <v>293</v>
      </c>
      <c r="C17" s="115">
        <f t="shared" si="28"/>
        <v>148.988001601763</v>
      </c>
      <c r="D17" s="115">
        <f t="shared" ref="D17:M17" si="29">D6-D9</f>
        <v>-63</v>
      </c>
      <c r="E17" s="115">
        <f t="shared" si="29"/>
        <v>14.5562162510288</v>
      </c>
      <c r="F17" s="115">
        <f t="shared" si="29"/>
        <v>13.78348622511</v>
      </c>
      <c r="G17" s="115">
        <f t="shared" si="29"/>
        <v>12.9505665742394</v>
      </c>
      <c r="H17" s="115">
        <f t="shared" si="29"/>
        <v>12.1125495122475</v>
      </c>
      <c r="I17" s="115">
        <f t="shared" si="29"/>
        <v>6.17042486179326</v>
      </c>
      <c r="J17" s="115">
        <f t="shared" si="29"/>
        <v>4.78708392060486</v>
      </c>
      <c r="K17" s="115">
        <f t="shared" si="29"/>
        <v>4.12572257127882</v>
      </c>
      <c r="L17" s="115">
        <f t="shared" si="29"/>
        <v>7.27091344826114</v>
      </c>
      <c r="M17" s="115">
        <f t="shared" si="29"/>
        <v>6.59663614239308</v>
      </c>
      <c r="N17" s="115">
        <f t="shared" ref="N17:Y17" si="30">N6-N9</f>
        <v>5.91537416335528</v>
      </c>
      <c r="O17" s="115">
        <f t="shared" si="30"/>
        <v>5.22675103726388</v>
      </c>
      <c r="P17" s="115">
        <f t="shared" si="30"/>
        <v>4.53036999829268</v>
      </c>
      <c r="Q17" s="115">
        <f t="shared" si="30"/>
        <v>3.82581289493747</v>
      </c>
      <c r="R17" s="115">
        <f t="shared" si="30"/>
        <v>3.11263903732797</v>
      </c>
      <c r="S17" s="115">
        <f t="shared" si="30"/>
        <v>6.20322471183034</v>
      </c>
      <c r="T17" s="115">
        <f t="shared" si="30"/>
        <v>17.115100540569</v>
      </c>
      <c r="U17" s="115">
        <f t="shared" si="30"/>
        <v>16.5704090077947</v>
      </c>
      <c r="V17" s="115">
        <f t="shared" si="30"/>
        <v>16.0257174750203</v>
      </c>
      <c r="W17" s="115">
        <f t="shared" si="30"/>
        <v>15.481025942246</v>
      </c>
      <c r="X17" s="115">
        <f t="shared" si="30"/>
        <v>14.9363344094716</v>
      </c>
      <c r="Y17" s="115">
        <f t="shared" si="30"/>
        <v>20.6916428766973</v>
      </c>
      <c r="Z17" s="115"/>
      <c r="AA17" s="115"/>
      <c r="AB17" s="115"/>
      <c r="AC17" s="115"/>
      <c r="AD17" s="122"/>
    </row>
    <row r="18" ht="15" spans="1:30">
      <c r="A18" s="118"/>
      <c r="B18" s="119" t="s">
        <v>294</v>
      </c>
      <c r="C18" s="120"/>
      <c r="D18" s="120">
        <f>D17</f>
        <v>-63</v>
      </c>
      <c r="E18" s="120">
        <f>D18+E17</f>
        <v>-48.4437837489713</v>
      </c>
      <c r="F18" s="120">
        <f>F17+E18</f>
        <v>-34.6602975238613</v>
      </c>
      <c r="G18" s="120">
        <f t="shared" ref="G18:N18" si="31">G17+F18</f>
        <v>-21.7097309496219</v>
      </c>
      <c r="H18" s="120">
        <f t="shared" si="31"/>
        <v>-9.59718143737436</v>
      </c>
      <c r="I18" s="120">
        <f t="shared" si="31"/>
        <v>-3.4267565755811</v>
      </c>
      <c r="J18" s="120">
        <f t="shared" si="31"/>
        <v>1.36032734502376</v>
      </c>
      <c r="K18" s="120">
        <f t="shared" si="31"/>
        <v>5.48604991630258</v>
      </c>
      <c r="L18" s="120">
        <f t="shared" si="31"/>
        <v>12.7569633645637</v>
      </c>
      <c r="M18" s="120">
        <f t="shared" si="31"/>
        <v>19.3535995069568</v>
      </c>
      <c r="N18" s="120">
        <f t="shared" si="31"/>
        <v>25.2689736703121</v>
      </c>
      <c r="O18" s="120">
        <f t="shared" ref="O18" si="32">O17+N18</f>
        <v>30.495724707576</v>
      </c>
      <c r="P18" s="120">
        <f t="shared" ref="P18" si="33">P17+O18</f>
        <v>35.0260947058686</v>
      </c>
      <c r="Q18" s="120">
        <f t="shared" ref="Q18" si="34">Q17+P18</f>
        <v>38.8519076008061</v>
      </c>
      <c r="R18" s="120">
        <f t="shared" ref="R18" si="35">R17+Q18</f>
        <v>41.9645466381341</v>
      </c>
      <c r="S18" s="120">
        <f t="shared" ref="S18" si="36">S17+R18</f>
        <v>48.1677713499644</v>
      </c>
      <c r="T18" s="120">
        <f t="shared" ref="T18:V18" si="37">T17+S18</f>
        <v>65.2828718905334</v>
      </c>
      <c r="U18" s="120">
        <f t="shared" si="37"/>
        <v>81.8532808983281</v>
      </c>
      <c r="V18" s="120">
        <f t="shared" si="37"/>
        <v>97.8789983733484</v>
      </c>
      <c r="W18" s="120">
        <f t="shared" ref="W18" si="38">W17+V18</f>
        <v>113.360024315594</v>
      </c>
      <c r="X18" s="120">
        <f t="shared" ref="X18" si="39">X17+W18</f>
        <v>128.296358725066</v>
      </c>
      <c r="Y18" s="120">
        <f t="shared" ref="Y18" si="40">Y17+X18</f>
        <v>148.988001601763</v>
      </c>
      <c r="Z18" s="120"/>
      <c r="AA18" s="120"/>
      <c r="AB18" s="120"/>
      <c r="AC18" s="120"/>
      <c r="AD18" s="66"/>
    </row>
    <row r="19" ht="15" spans="1:30">
      <c r="A19" s="66"/>
      <c r="B19" s="66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</row>
    <row r="20" spans="1:30">
      <c r="A20" s="17" t="s">
        <v>3</v>
      </c>
      <c r="B20" s="18" t="s">
        <v>97</v>
      </c>
      <c r="C20" s="33" t="s">
        <v>102</v>
      </c>
      <c r="D20" s="33" t="s">
        <v>170</v>
      </c>
      <c r="E20" s="33" t="s">
        <v>171</v>
      </c>
      <c r="F20" s="33" t="s">
        <v>172</v>
      </c>
      <c r="G20" s="33" t="s">
        <v>173</v>
      </c>
      <c r="H20" s="33" t="s">
        <v>174</v>
      </c>
      <c r="I20" s="33" t="s">
        <v>175</v>
      </c>
      <c r="J20" s="33" t="s">
        <v>176</v>
      </c>
      <c r="K20" s="33" t="s">
        <v>177</v>
      </c>
      <c r="L20" s="33" t="s">
        <v>178</v>
      </c>
      <c r="M20" s="33"/>
      <c r="N20" s="33"/>
      <c r="O20" s="33"/>
      <c r="P20" s="38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</row>
    <row r="21" spans="1:30">
      <c r="A21" s="20"/>
      <c r="B21" s="21"/>
      <c r="C21" s="121"/>
      <c r="D21" s="121">
        <v>13</v>
      </c>
      <c r="E21" s="121">
        <v>14</v>
      </c>
      <c r="F21" s="121">
        <v>15</v>
      </c>
      <c r="G21" s="121">
        <v>16</v>
      </c>
      <c r="H21" s="121">
        <v>17</v>
      </c>
      <c r="I21" s="121">
        <v>18</v>
      </c>
      <c r="J21" s="121">
        <v>19</v>
      </c>
      <c r="K21" s="121">
        <v>20</v>
      </c>
      <c r="L21" s="121">
        <v>21</v>
      </c>
      <c r="M21" s="121"/>
      <c r="N21" s="121"/>
      <c r="O21" s="121"/>
      <c r="P21" s="121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</row>
    <row r="22" spans="1:30">
      <c r="A22" s="20"/>
      <c r="B22" s="21"/>
      <c r="C22" s="121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</row>
    <row r="23" spans="1:30">
      <c r="A23" s="114">
        <v>1</v>
      </c>
      <c r="B23" s="60" t="s">
        <v>285</v>
      </c>
      <c r="C23" s="115">
        <f>C6</f>
        <v>1005.0348369706</v>
      </c>
      <c r="D23" s="115">
        <f>Q6</f>
        <v>44.5024380988957</v>
      </c>
      <c r="E23" s="115">
        <f t="shared" ref="E23:L23" si="41">R6</f>
        <v>42.9724990327696</v>
      </c>
      <c r="F23" s="115">
        <f t="shared" si="41"/>
        <v>52.1521334295261</v>
      </c>
      <c r="G23" s="115">
        <f t="shared" si="41"/>
        <v>50.6221943634</v>
      </c>
      <c r="H23" s="115">
        <f t="shared" si="41"/>
        <v>49.0922552972739</v>
      </c>
      <c r="I23" s="115">
        <f t="shared" si="41"/>
        <v>47.5623162311478</v>
      </c>
      <c r="J23" s="115">
        <f t="shared" si="41"/>
        <v>46.0323771650217</v>
      </c>
      <c r="K23" s="115">
        <f t="shared" si="41"/>
        <v>44.5024380988957</v>
      </c>
      <c r="L23" s="115">
        <f t="shared" si="41"/>
        <v>49.2724990327696</v>
      </c>
      <c r="M23" s="115"/>
      <c r="N23" s="115"/>
      <c r="O23" s="115"/>
      <c r="P23" s="115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</row>
    <row r="24" spans="1:30">
      <c r="A24" s="114">
        <v>1.1</v>
      </c>
      <c r="B24" s="60" t="s">
        <v>192</v>
      </c>
      <c r="C24" s="115">
        <f>C7</f>
        <v>998.734836970604</v>
      </c>
      <c r="D24" s="115">
        <f>Q7</f>
        <v>44.5024380988957</v>
      </c>
      <c r="E24" s="115">
        <f t="shared" ref="E24:L24" si="42">R7</f>
        <v>42.9724990327696</v>
      </c>
      <c r="F24" s="115">
        <f t="shared" si="42"/>
        <v>52.1521334295261</v>
      </c>
      <c r="G24" s="115">
        <f t="shared" si="42"/>
        <v>50.6221943634</v>
      </c>
      <c r="H24" s="115">
        <f t="shared" si="42"/>
        <v>49.0922552972739</v>
      </c>
      <c r="I24" s="115">
        <f t="shared" si="42"/>
        <v>47.5623162311478</v>
      </c>
      <c r="J24" s="115">
        <f t="shared" si="42"/>
        <v>46.0323771650217</v>
      </c>
      <c r="K24" s="115">
        <f t="shared" si="42"/>
        <v>44.5024380988957</v>
      </c>
      <c r="L24" s="115">
        <f t="shared" si="42"/>
        <v>42.9724990327696</v>
      </c>
      <c r="M24" s="115"/>
      <c r="N24" s="115"/>
      <c r="O24" s="115"/>
      <c r="P24" s="115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</row>
    <row r="25" spans="1:30">
      <c r="A25" s="114">
        <v>2</v>
      </c>
      <c r="B25" s="60" t="s">
        <v>287</v>
      </c>
      <c r="C25" s="115">
        <f t="shared" ref="C25:C33" si="43">C9</f>
        <v>856.046835368841</v>
      </c>
      <c r="D25" s="115">
        <f t="shared" ref="D25:D34" si="44">Q9</f>
        <v>40.6766252039582</v>
      </c>
      <c r="E25" s="115">
        <f t="shared" ref="E25:E34" si="45">R9</f>
        <v>39.8598599954416</v>
      </c>
      <c r="F25" s="115">
        <f t="shared" ref="F25:F34" si="46">S9</f>
        <v>45.9489087176958</v>
      </c>
      <c r="G25" s="115">
        <f t="shared" ref="G25:G34" si="47">T9</f>
        <v>33.507093822831</v>
      </c>
      <c r="H25" s="115">
        <f t="shared" ref="H25:H34" si="48">U9</f>
        <v>32.5218462894792</v>
      </c>
      <c r="I25" s="115">
        <f t="shared" ref="I25:I34" si="49">V9</f>
        <v>31.5365987561275</v>
      </c>
      <c r="J25" s="115">
        <f t="shared" ref="J25:J34" si="50">W9</f>
        <v>30.5513512227758</v>
      </c>
      <c r="K25" s="115">
        <f t="shared" ref="K25:K34" si="51">X9</f>
        <v>29.5661036894241</v>
      </c>
      <c r="L25" s="115">
        <f t="shared" ref="L25:L34" si="52">Y9</f>
        <v>28.5808561560723</v>
      </c>
      <c r="M25" s="115"/>
      <c r="N25" s="115"/>
      <c r="O25" s="115"/>
      <c r="P25" s="115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</row>
    <row r="26" spans="1:30">
      <c r="A26" s="114">
        <v>2.1</v>
      </c>
      <c r="B26" s="60" t="s">
        <v>288</v>
      </c>
      <c r="C26" s="115">
        <f t="shared" si="43"/>
        <v>63</v>
      </c>
      <c r="D26" s="115">
        <f t="shared" si="44"/>
        <v>0</v>
      </c>
      <c r="E26" s="115">
        <f t="shared" si="45"/>
        <v>0</v>
      </c>
      <c r="F26" s="115">
        <f t="shared" si="46"/>
        <v>0</v>
      </c>
      <c r="G26" s="115">
        <f t="shared" si="47"/>
        <v>0</v>
      </c>
      <c r="H26" s="115">
        <f t="shared" si="48"/>
        <v>0</v>
      </c>
      <c r="I26" s="115">
        <f t="shared" si="49"/>
        <v>0</v>
      </c>
      <c r="J26" s="115">
        <f t="shared" si="50"/>
        <v>0</v>
      </c>
      <c r="K26" s="115">
        <f t="shared" si="51"/>
        <v>0</v>
      </c>
      <c r="L26" s="115">
        <f t="shared" si="52"/>
        <v>0</v>
      </c>
      <c r="M26" s="115"/>
      <c r="N26" s="115"/>
      <c r="O26" s="115"/>
      <c r="P26" s="115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</row>
    <row r="27" spans="1:30">
      <c r="A27" s="114">
        <v>2.2</v>
      </c>
      <c r="B27" s="60" t="s">
        <v>289</v>
      </c>
      <c r="C27" s="115">
        <f t="shared" si="43"/>
        <v>147.9904125</v>
      </c>
      <c r="D27" s="115">
        <f t="shared" si="44"/>
        <v>12.5033265183788</v>
      </c>
      <c r="E27" s="115">
        <f t="shared" si="45"/>
        <v>13.1772558177194</v>
      </c>
      <c r="F27" s="115">
        <f t="shared" si="46"/>
        <v>13.8875099062945</v>
      </c>
      <c r="G27" s="115">
        <f t="shared" si="47"/>
        <v>0</v>
      </c>
      <c r="H27" s="115">
        <f t="shared" si="48"/>
        <v>0</v>
      </c>
      <c r="I27" s="115">
        <f t="shared" si="49"/>
        <v>0</v>
      </c>
      <c r="J27" s="115">
        <f t="shared" si="50"/>
        <v>0</v>
      </c>
      <c r="K27" s="115">
        <f t="shared" si="51"/>
        <v>0</v>
      </c>
      <c r="L27" s="115">
        <f t="shared" si="52"/>
        <v>0</v>
      </c>
      <c r="M27" s="115"/>
      <c r="N27" s="115"/>
      <c r="O27" s="115"/>
      <c r="P27" s="115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</row>
    <row r="28" spans="1:30">
      <c r="A28" s="114">
        <v>2.3</v>
      </c>
      <c r="B28" s="60" t="s">
        <v>290</v>
      </c>
      <c r="C28" s="115">
        <f t="shared" si="43"/>
        <v>71.5502878536559</v>
      </c>
      <c r="D28" s="115">
        <f t="shared" si="44"/>
        <v>2.13272017186496</v>
      </c>
      <c r="E28" s="115">
        <f t="shared" si="45"/>
        <v>1.45879087252435</v>
      </c>
      <c r="F28" s="115">
        <f t="shared" si="46"/>
        <v>0.748536783949273</v>
      </c>
      <c r="G28" s="115">
        <f t="shared" si="47"/>
        <v>0</v>
      </c>
      <c r="H28" s="115">
        <f t="shared" si="48"/>
        <v>0</v>
      </c>
      <c r="I28" s="115">
        <f t="shared" si="49"/>
        <v>0</v>
      </c>
      <c r="J28" s="115">
        <f t="shared" si="50"/>
        <v>0</v>
      </c>
      <c r="K28" s="115">
        <f t="shared" si="51"/>
        <v>0</v>
      </c>
      <c r="L28" s="115">
        <f t="shared" si="52"/>
        <v>0</v>
      </c>
      <c r="M28" s="115"/>
      <c r="N28" s="115"/>
      <c r="O28" s="115"/>
      <c r="P28" s="115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</row>
    <row r="29" spans="1:30">
      <c r="A29" s="114">
        <v>2.4</v>
      </c>
      <c r="B29" s="60" t="s">
        <v>291</v>
      </c>
      <c r="C29" s="115">
        <f t="shared" si="43"/>
        <v>420.721280107734</v>
      </c>
      <c r="D29" s="115">
        <f t="shared" si="44"/>
        <v>18.823299538284</v>
      </c>
      <c r="E29" s="115">
        <f t="shared" si="45"/>
        <v>18.2177759715275</v>
      </c>
      <c r="F29" s="115">
        <f t="shared" si="46"/>
        <v>21.8509173720662</v>
      </c>
      <c r="G29" s="115">
        <f t="shared" si="47"/>
        <v>21.2453938053097</v>
      </c>
      <c r="H29" s="115">
        <f t="shared" si="48"/>
        <v>20.6398702385533</v>
      </c>
      <c r="I29" s="115">
        <f t="shared" si="49"/>
        <v>20.0343466717969</v>
      </c>
      <c r="J29" s="115">
        <f t="shared" si="50"/>
        <v>19.4288231050404</v>
      </c>
      <c r="K29" s="115">
        <f t="shared" si="51"/>
        <v>18.823299538284</v>
      </c>
      <c r="L29" s="115">
        <f t="shared" si="52"/>
        <v>18.2177759715275</v>
      </c>
      <c r="M29" s="115"/>
      <c r="N29" s="115"/>
      <c r="O29" s="115"/>
      <c r="P29" s="115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</row>
    <row r="30" spans="1:30">
      <c r="A30" s="114">
        <v>2.5</v>
      </c>
      <c r="B30" s="60" t="s">
        <v>292</v>
      </c>
      <c r="C30" s="115">
        <f t="shared" si="43"/>
        <v>9.34473183698761</v>
      </c>
      <c r="D30" s="115">
        <f t="shared" si="44"/>
        <v>0.524002364968142</v>
      </c>
      <c r="E30" s="115">
        <f t="shared" si="45"/>
        <v>0.505987808392036</v>
      </c>
      <c r="F30" s="115">
        <f t="shared" si="46"/>
        <v>0.614075147848673</v>
      </c>
      <c r="G30" s="115">
        <f t="shared" si="47"/>
        <v>0.596060591272566</v>
      </c>
      <c r="H30" s="115">
        <f t="shared" si="48"/>
        <v>0.57804603469646</v>
      </c>
      <c r="I30" s="115">
        <f t="shared" si="49"/>
        <v>0.560031478120354</v>
      </c>
      <c r="J30" s="115">
        <f t="shared" si="50"/>
        <v>0.542016921544248</v>
      </c>
      <c r="K30" s="115">
        <f t="shared" si="51"/>
        <v>0.524002364968142</v>
      </c>
      <c r="L30" s="115">
        <f t="shared" si="52"/>
        <v>0.505987808392036</v>
      </c>
      <c r="M30" s="115"/>
      <c r="N30" s="115"/>
      <c r="O30" s="115"/>
      <c r="P30" s="115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</row>
    <row r="31" spans="1:30">
      <c r="A31" s="114">
        <v>2.6</v>
      </c>
      <c r="B31" s="60" t="s">
        <v>212</v>
      </c>
      <c r="C31" s="115">
        <f t="shared" si="43"/>
        <v>93.4473183698761</v>
      </c>
      <c r="D31" s="115">
        <f t="shared" si="44"/>
        <v>5.24002364968142</v>
      </c>
      <c r="E31" s="115">
        <f t="shared" si="45"/>
        <v>5.05987808392036</v>
      </c>
      <c r="F31" s="115">
        <f t="shared" si="46"/>
        <v>6.14075147848673</v>
      </c>
      <c r="G31" s="115">
        <f t="shared" si="47"/>
        <v>5.96060591272566</v>
      </c>
      <c r="H31" s="115">
        <f t="shared" si="48"/>
        <v>5.7804603469646</v>
      </c>
      <c r="I31" s="115">
        <f t="shared" si="49"/>
        <v>5.60031478120354</v>
      </c>
      <c r="J31" s="115">
        <f t="shared" si="50"/>
        <v>5.42016921544248</v>
      </c>
      <c r="K31" s="115">
        <f t="shared" si="51"/>
        <v>5.24002364968142</v>
      </c>
      <c r="L31" s="115">
        <f t="shared" si="52"/>
        <v>5.05987808392036</v>
      </c>
      <c r="M31" s="115"/>
      <c r="N31" s="115"/>
      <c r="O31" s="115"/>
      <c r="P31" s="115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</row>
    <row r="32" customHeight="1" spans="1:30">
      <c r="A32" s="114">
        <v>2.7</v>
      </c>
      <c r="B32" s="60" t="s">
        <v>246</v>
      </c>
      <c r="C32" s="115">
        <f t="shared" si="43"/>
        <v>49.9928047005877</v>
      </c>
      <c r="D32" s="115">
        <f t="shared" si="44"/>
        <v>1.45325296078093</v>
      </c>
      <c r="E32" s="115">
        <f t="shared" si="45"/>
        <v>1.44017144135797</v>
      </c>
      <c r="F32" s="115">
        <f t="shared" si="46"/>
        <v>2.70711802905045</v>
      </c>
      <c r="G32" s="115">
        <f t="shared" si="47"/>
        <v>5.70503351352301</v>
      </c>
      <c r="H32" s="115">
        <f t="shared" si="48"/>
        <v>5.52346966926489</v>
      </c>
      <c r="I32" s="115">
        <f t="shared" si="49"/>
        <v>5.34190582500677</v>
      </c>
      <c r="J32" s="115">
        <f t="shared" si="50"/>
        <v>5.16034198074865</v>
      </c>
      <c r="K32" s="115">
        <f t="shared" si="51"/>
        <v>4.97877813649053</v>
      </c>
      <c r="L32" s="115">
        <f t="shared" si="52"/>
        <v>4.79721429223242</v>
      </c>
      <c r="M32" s="115"/>
      <c r="N32" s="115"/>
      <c r="O32" s="115"/>
      <c r="P32" s="115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</row>
    <row r="33" spans="1:30">
      <c r="A33" s="114">
        <v>3</v>
      </c>
      <c r="B33" s="60" t="s">
        <v>293</v>
      </c>
      <c r="C33" s="115">
        <f t="shared" si="43"/>
        <v>148.988001601763</v>
      </c>
      <c r="D33" s="115">
        <f t="shared" si="44"/>
        <v>3.82581289493747</v>
      </c>
      <c r="E33" s="115">
        <f t="shared" si="45"/>
        <v>3.11263903732797</v>
      </c>
      <c r="F33" s="115">
        <f t="shared" si="46"/>
        <v>6.20322471183034</v>
      </c>
      <c r="G33" s="115">
        <f t="shared" si="47"/>
        <v>17.115100540569</v>
      </c>
      <c r="H33" s="115">
        <f t="shared" si="48"/>
        <v>16.5704090077947</v>
      </c>
      <c r="I33" s="115">
        <f t="shared" si="49"/>
        <v>16.0257174750203</v>
      </c>
      <c r="J33" s="115">
        <f t="shared" si="50"/>
        <v>15.481025942246</v>
      </c>
      <c r="K33" s="115">
        <f t="shared" si="51"/>
        <v>14.9363344094716</v>
      </c>
      <c r="L33" s="115">
        <f t="shared" si="52"/>
        <v>20.6916428766973</v>
      </c>
      <c r="M33" s="115"/>
      <c r="N33" s="115"/>
      <c r="O33" s="115"/>
      <c r="P33" s="115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</row>
    <row r="34" ht="15" spans="1:30">
      <c r="A34" s="118"/>
      <c r="B34" s="119" t="s">
        <v>294</v>
      </c>
      <c r="C34" s="120"/>
      <c r="D34" s="115">
        <f t="shared" si="44"/>
        <v>38.8519076008061</v>
      </c>
      <c r="E34" s="115">
        <f t="shared" si="45"/>
        <v>41.9645466381341</v>
      </c>
      <c r="F34" s="115">
        <f t="shared" si="46"/>
        <v>48.1677713499644</v>
      </c>
      <c r="G34" s="115">
        <f t="shared" si="47"/>
        <v>65.2828718905334</v>
      </c>
      <c r="H34" s="115">
        <f t="shared" si="48"/>
        <v>81.8532808983281</v>
      </c>
      <c r="I34" s="115">
        <f t="shared" si="49"/>
        <v>97.8789983733484</v>
      </c>
      <c r="J34" s="115">
        <f t="shared" si="50"/>
        <v>113.360024315594</v>
      </c>
      <c r="K34" s="115">
        <f t="shared" si="51"/>
        <v>128.296358725066</v>
      </c>
      <c r="L34" s="115">
        <f t="shared" si="52"/>
        <v>148.988001601763</v>
      </c>
      <c r="M34" s="115"/>
      <c r="N34" s="115"/>
      <c r="O34" s="115"/>
      <c r="P34" s="115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</row>
    <row r="35" spans="1:30">
      <c r="A35" s="64"/>
      <c r="B35" s="66" t="s">
        <v>295</v>
      </c>
      <c r="C35" s="122"/>
      <c r="D35" s="122">
        <f>NPV(8%,D17:AC17)</f>
        <v>31.407388072743</v>
      </c>
      <c r="E35" s="122"/>
      <c r="F35" s="66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1:30">
      <c r="A36" s="66"/>
      <c r="B36" s="66" t="s">
        <v>296</v>
      </c>
      <c r="C36" s="66"/>
      <c r="D36" s="123">
        <f>IRR(D17:AC17)</f>
        <v>0.148377883290529</v>
      </c>
      <c r="E36" s="124"/>
      <c r="F36" s="125" t="s">
        <v>297</v>
      </c>
      <c r="G36" s="66"/>
      <c r="H36" s="122">
        <f>MAX(E5:Y5)</f>
        <v>5.77954073252771</v>
      </c>
      <c r="I36" s="66" t="s">
        <v>298</v>
      </c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9" spans="4:10">
      <c r="D39" s="10"/>
      <c r="E39" s="10"/>
      <c r="F39" s="10"/>
      <c r="G39" s="10"/>
      <c r="H39" s="10"/>
      <c r="I39" s="10"/>
      <c r="J39" s="10"/>
    </row>
    <row r="40" spans="4:10">
      <c r="D40" s="10"/>
      <c r="E40" s="10"/>
      <c r="F40" s="10"/>
      <c r="G40" s="10"/>
      <c r="H40" s="10"/>
      <c r="I40" s="10"/>
      <c r="J40" s="10"/>
    </row>
    <row r="41" spans="4:10">
      <c r="D41" s="10"/>
      <c r="E41" s="10"/>
      <c r="F41" s="10"/>
      <c r="G41" s="10"/>
      <c r="H41" s="10"/>
      <c r="I41" s="10"/>
      <c r="J41" s="10"/>
    </row>
    <row r="42" spans="4:10">
      <c r="D42" s="10"/>
      <c r="E42" s="10"/>
      <c r="F42" s="10"/>
      <c r="G42" s="10"/>
      <c r="H42" s="10"/>
      <c r="I42" s="10"/>
      <c r="J42" s="10"/>
    </row>
    <row r="43" spans="4:10">
      <c r="D43" s="10"/>
      <c r="E43" s="10"/>
      <c r="F43" s="10"/>
      <c r="G43" s="10"/>
      <c r="H43" s="10"/>
      <c r="I43" s="10"/>
      <c r="J43" s="10"/>
    </row>
    <row r="44" spans="4:10">
      <c r="D44" s="10"/>
      <c r="E44" s="10"/>
      <c r="F44" s="10"/>
      <c r="G44" s="10"/>
      <c r="H44" s="10"/>
      <c r="I44" s="10"/>
      <c r="J44" s="10"/>
    </row>
    <row r="45" spans="4:10">
      <c r="D45" s="10"/>
      <c r="E45" s="10"/>
      <c r="F45" s="10"/>
      <c r="G45" s="10"/>
      <c r="H45" s="10"/>
      <c r="I45" s="10"/>
      <c r="J45" s="10"/>
    </row>
    <row r="46" spans="4:10">
      <c r="D46" s="10"/>
      <c r="E46" s="10"/>
      <c r="F46" s="10"/>
      <c r="G46" s="10"/>
      <c r="H46" s="10"/>
      <c r="I46" s="10"/>
      <c r="J46" s="10"/>
    </row>
    <row r="47" spans="4:10">
      <c r="D47" s="10"/>
      <c r="E47" s="10"/>
      <c r="F47" s="10"/>
      <c r="G47" s="10"/>
      <c r="H47" s="10"/>
      <c r="I47" s="10"/>
      <c r="J47" s="10"/>
    </row>
    <row r="48" spans="4:10">
      <c r="D48" s="10"/>
      <c r="E48" s="10"/>
      <c r="F48" s="10"/>
      <c r="G48" s="10"/>
      <c r="H48" s="10"/>
      <c r="I48" s="10"/>
      <c r="J48" s="10"/>
    </row>
    <row r="49" spans="4:10">
      <c r="D49" s="10"/>
      <c r="E49" s="10"/>
      <c r="F49" s="10"/>
      <c r="G49" s="10"/>
      <c r="H49" s="10"/>
      <c r="I49" s="10"/>
      <c r="J49" s="10"/>
    </row>
    <row r="50" spans="4:10">
      <c r="D50" s="10"/>
      <c r="E50" s="10"/>
      <c r="F50" s="10"/>
      <c r="G50" s="10"/>
      <c r="H50" s="10"/>
      <c r="I50" s="10"/>
      <c r="J50" s="10"/>
    </row>
    <row r="51" spans="4:10">
      <c r="D51" s="10"/>
      <c r="E51" s="10"/>
      <c r="F51" s="10"/>
      <c r="G51" s="10"/>
      <c r="H51" s="10"/>
      <c r="I51" s="10"/>
      <c r="J51" s="10"/>
    </row>
    <row r="52" spans="4:10">
      <c r="D52" s="11"/>
      <c r="E52" s="12"/>
      <c r="F52" s="12"/>
      <c r="G52" s="12"/>
      <c r="H52" s="12"/>
      <c r="I52" s="12"/>
      <c r="J52" s="12"/>
    </row>
    <row r="53" spans="4:10">
      <c r="D53" s="12"/>
      <c r="E53" s="12"/>
      <c r="F53" s="12"/>
      <c r="G53" s="12"/>
      <c r="H53" s="12"/>
      <c r="I53" s="12"/>
      <c r="J53" s="12"/>
    </row>
    <row r="54" spans="4:10">
      <c r="D54" s="12"/>
      <c r="E54" s="12"/>
      <c r="F54" s="12"/>
      <c r="G54" s="12"/>
      <c r="H54" s="12"/>
      <c r="I54" s="12"/>
      <c r="J54" s="12"/>
    </row>
  </sheetData>
  <sheetProtection selectLockedCells="1" autoFilter="0"/>
  <mergeCells count="4">
    <mergeCell ref="A1:P1"/>
    <mergeCell ref="A2:P2"/>
    <mergeCell ref="D39:J51"/>
    <mergeCell ref="D52:J5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基础数据</vt:lpstr>
      <vt:lpstr>基础输入数据</vt:lpstr>
      <vt:lpstr>表1 充放电量</vt:lpstr>
      <vt:lpstr>表2 营业收入、营业税金及附加估算表</vt:lpstr>
      <vt:lpstr>表3 固定资产折旧费估算表</vt:lpstr>
      <vt:lpstr>表4 总成本费用估算表</vt:lpstr>
      <vt:lpstr>表5 利润与利润分配表</vt:lpstr>
      <vt:lpstr>表6 还本付息表</vt:lpstr>
      <vt:lpstr>表7 项目资本金财务现金流量表</vt:lpstr>
      <vt:lpstr>表9 资产负债表</vt:lpstr>
      <vt:lpstr>表8 项目投资财务现金流量表</vt:lpstr>
      <vt:lpstr>表10 项目总投资使用计划与资金筹措表</vt:lpstr>
      <vt:lpstr>表11 财务计划现金流量表</vt:lpstr>
      <vt:lpstr>表12 EVA测算表</vt:lpstr>
      <vt:lpstr>表13 单因素敏感性分析表</vt:lpstr>
      <vt:lpstr>表14 敏感度系数分析表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李际日</cp:lastModifiedBy>
  <dcterms:created xsi:type="dcterms:W3CDTF">2015-06-05T10:19:00Z</dcterms:created>
  <dcterms:modified xsi:type="dcterms:W3CDTF">2021-10-26T02:05:00Z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959634e26e4f4e0cb4ef4055cc118f13</vt:lpwstr>
  </property>
  <property fmtid="{D5CDD505-2E9C-101B-9397-08002B2CF9AE}" pid="3" name="KSOProductBuildVer">
    <vt:lpwstr>2052-11.1.0.10938</vt:lpwstr>
  </property>
</Properties>
</file>