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陈瑞E\12 成本核算\"/>
    </mc:Choice>
  </mc:AlternateContent>
  <bookViews>
    <workbookView xWindow="0" yWindow="0" windowWidth="28800" windowHeight="12435"/>
  </bookViews>
  <sheets>
    <sheet name="最终版—用户侧" sheetId="1" r:id="rId1"/>
  </sheets>
  <definedNames>
    <definedName name="保险费">最终版—用户侧!$R$5</definedName>
    <definedName name="保险费用">最终版—用户侧!$E$9</definedName>
    <definedName name="充电效率" comment="充电效率">最终版—用户侧!$E$15</definedName>
    <definedName name="充放电深度">最终版—用户侧!$E$13</definedName>
    <definedName name="电费差收入">最终版—用户侧!$P$5</definedName>
    <definedName name="额定功率" comment="额定功率">最终版—用户侧!$E$3</definedName>
    <definedName name="额定容量">最终版—用户侧!$E$4</definedName>
    <definedName name="放电效率" comment="放电效率">最终版—用户侧!$E$16</definedName>
    <definedName name="峰时电价">最终版—用户侧!$E$10</definedName>
    <definedName name="更换电池总成本_假设" comment="换电池总成本">最终版—用户侧!$E$27</definedName>
    <definedName name="谷充电">最终版—用户侧!$E$21</definedName>
    <definedName name="谷时电价">最终版—用户侧!$E$12</definedName>
    <definedName name="每天循环次数">最终版—用户侧!$E$20</definedName>
    <definedName name="年运行天数">最终版—用户侧!$E$19</definedName>
    <definedName name="平充电">最终版—用户侧!$E$22</definedName>
    <definedName name="平时电价">最终版—用户侧!$E$11</definedName>
    <definedName name="施工费用">最终版—用户侧!$E$7</definedName>
    <definedName name="所得税率">最终版—用户侧!$AA$4</definedName>
    <definedName name="系统设备总价">最终版—用户侧!$E$6</definedName>
    <definedName name="系统综合效率">最终版—用户侧!$E$14</definedName>
    <definedName name="循环寿命_70_EOL">最终版—用户侧!$E$24</definedName>
    <definedName name="运维费">最终版—用户侧!$Q$5</definedName>
    <definedName name="运维费用">最终版—用户侧!$E$8</definedName>
    <definedName name="运营年限">最终版—用户侧!$E$23</definedName>
    <definedName name="增值税">最终版—用户侧!$S$4</definedName>
    <definedName name="折旧">最终版—用户侧!$T$5</definedName>
    <definedName name="折现率">最终版—用户侧!$E$18</definedName>
    <definedName name="自有资金比例">最终版—用户侧!$E$17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I19" i="1" s="1"/>
  <c r="AD19" i="1"/>
  <c r="T19" i="1"/>
  <c r="R19" i="1"/>
  <c r="Q19" i="1"/>
  <c r="AD18" i="1"/>
  <c r="T18" i="1"/>
  <c r="R18" i="1"/>
  <c r="Q18" i="1"/>
  <c r="AD17" i="1"/>
  <c r="T17" i="1"/>
  <c r="R17" i="1"/>
  <c r="Q17" i="1"/>
  <c r="AD16" i="1"/>
  <c r="T16" i="1"/>
  <c r="R16" i="1"/>
  <c r="Q16" i="1"/>
  <c r="I16" i="1"/>
  <c r="E16" i="1"/>
  <c r="AD15" i="1"/>
  <c r="T15" i="1"/>
  <c r="R15" i="1"/>
  <c r="Q15" i="1"/>
  <c r="E15" i="1"/>
  <c r="AD14" i="1"/>
  <c r="AD13" i="1"/>
  <c r="Q13" i="1"/>
  <c r="I13" i="1"/>
  <c r="AD12" i="1"/>
  <c r="AD11" i="1"/>
  <c r="AD10" i="1"/>
  <c r="T10" i="1"/>
  <c r="AD9" i="1"/>
  <c r="W9" i="1"/>
  <c r="I9" i="1"/>
  <c r="AD8" i="1"/>
  <c r="Q8" i="1"/>
  <c r="E8" i="1"/>
  <c r="Q12" i="1" s="1"/>
  <c r="AD7" i="1"/>
  <c r="Q7" i="1"/>
  <c r="E7" i="1"/>
  <c r="AD6" i="1"/>
  <c r="Q6" i="1"/>
  <c r="E6" i="1"/>
  <c r="AD5" i="1"/>
  <c r="W5" i="1"/>
  <c r="Q5" i="1"/>
  <c r="I5" i="1"/>
  <c r="J5" i="1" l="1"/>
  <c r="L5" i="1" s="1"/>
  <c r="I7" i="1"/>
  <c r="I8" i="1"/>
  <c r="K9" i="1" s="1"/>
  <c r="N9" i="1" s="1"/>
  <c r="I12" i="1"/>
  <c r="K13" i="1" s="1"/>
  <c r="N13" i="1" s="1"/>
  <c r="I17" i="1"/>
  <c r="J18" i="1" s="1"/>
  <c r="E25" i="1"/>
  <c r="E27" i="1" s="1"/>
  <c r="I11" i="1"/>
  <c r="I15" i="1"/>
  <c r="K16" i="1" s="1"/>
  <c r="N16" i="1" s="1"/>
  <c r="I18" i="1"/>
  <c r="K19" i="1" s="1"/>
  <c r="N19" i="1" s="1"/>
  <c r="K5" i="1"/>
  <c r="AC5" i="1" s="1"/>
  <c r="I6" i="1"/>
  <c r="K7" i="1" s="1"/>
  <c r="N7" i="1" s="1"/>
  <c r="I10" i="1"/>
  <c r="J10" i="1" s="1"/>
  <c r="I14" i="1"/>
  <c r="K15" i="1" s="1"/>
  <c r="N15" i="1" s="1"/>
  <c r="J15" i="1"/>
  <c r="M15" i="1" s="1"/>
  <c r="K18" i="1"/>
  <c r="N18" i="1" s="1"/>
  <c r="N5" i="1"/>
  <c r="T13" i="1"/>
  <c r="T8" i="1"/>
  <c r="W6" i="1"/>
  <c r="X4" i="1"/>
  <c r="T12" i="1"/>
  <c r="T9" i="1"/>
  <c r="E9" i="1"/>
  <c r="W7" i="1"/>
  <c r="T5" i="1"/>
  <c r="E30" i="1"/>
  <c r="T11" i="1"/>
  <c r="W8" i="1"/>
  <c r="E29" i="1"/>
  <c r="V4" i="1" s="1"/>
  <c r="AF4" i="1" s="1"/>
  <c r="T6" i="1"/>
  <c r="AC6" i="1"/>
  <c r="K8" i="1"/>
  <c r="N8" i="1" s="1"/>
  <c r="T7" i="1"/>
  <c r="T14" i="1"/>
  <c r="J9" i="1"/>
  <c r="M5" i="1"/>
  <c r="K14" i="1"/>
  <c r="N14" i="1" s="1"/>
  <c r="J14" i="1"/>
  <c r="J8" i="1"/>
  <c r="Q10" i="1"/>
  <c r="Q14" i="1"/>
  <c r="J19" i="1"/>
  <c r="Q11" i="1"/>
  <c r="J16" i="1"/>
  <c r="Q9" i="1"/>
  <c r="M18" i="1" l="1"/>
  <c r="L18" i="1"/>
  <c r="J17" i="1"/>
  <c r="J13" i="1"/>
  <c r="L15" i="1"/>
  <c r="O15" i="1" s="1"/>
  <c r="K17" i="1"/>
  <c r="N17" i="1" s="1"/>
  <c r="K12" i="1"/>
  <c r="N12" i="1" s="1"/>
  <c r="J12" i="1"/>
  <c r="K6" i="1"/>
  <c r="N6" i="1" s="1"/>
  <c r="J11" i="1"/>
  <c r="K11" i="1"/>
  <c r="N11" i="1" s="1"/>
  <c r="J7" i="1"/>
  <c r="K10" i="1"/>
  <c r="N10" i="1" s="1"/>
  <c r="J6" i="1"/>
  <c r="O18" i="1"/>
  <c r="P18" i="1" s="1"/>
  <c r="M10" i="1"/>
  <c r="L10" i="1"/>
  <c r="L13" i="1"/>
  <c r="M13" i="1"/>
  <c r="Y5" i="1"/>
  <c r="X5" i="1"/>
  <c r="M7" i="1"/>
  <c r="L7" i="1"/>
  <c r="O7" i="1" s="1"/>
  <c r="M9" i="1"/>
  <c r="L9" i="1"/>
  <c r="O9" i="1" s="1"/>
  <c r="R11" i="1"/>
  <c r="R6" i="1"/>
  <c r="R14" i="1"/>
  <c r="R10" i="1"/>
  <c r="R7" i="1"/>
  <c r="R13" i="1"/>
  <c r="R8" i="1"/>
  <c r="R5" i="1"/>
  <c r="R12" i="1"/>
  <c r="R9" i="1"/>
  <c r="M16" i="1"/>
  <c r="L16" i="1"/>
  <c r="L19" i="1"/>
  <c r="M19" i="1"/>
  <c r="L8" i="1"/>
  <c r="M8" i="1"/>
  <c r="AC7" i="1"/>
  <c r="AC8" i="1"/>
  <c r="AC9" i="1" s="1"/>
  <c r="O13" i="1"/>
  <c r="M14" i="1"/>
  <c r="L14" i="1"/>
  <c r="AG4" i="1"/>
  <c r="O5" i="1"/>
  <c r="P15" i="1" l="1"/>
  <c r="S15" i="1"/>
  <c r="L17" i="1"/>
  <c r="M17" i="1"/>
  <c r="O8" i="1"/>
  <c r="M6" i="1"/>
  <c r="L6" i="1"/>
  <c r="L11" i="1"/>
  <c r="M11" i="1"/>
  <c r="S18" i="1"/>
  <c r="O6" i="1"/>
  <c r="O19" i="1"/>
  <c r="P19" i="1" s="1"/>
  <c r="L12" i="1"/>
  <c r="M12" i="1"/>
  <c r="O14" i="1"/>
  <c r="S14" i="1" s="1"/>
  <c r="E36" i="1"/>
  <c r="P8" i="1"/>
  <c r="S8" i="1"/>
  <c r="P14" i="1"/>
  <c r="P5" i="1"/>
  <c r="S5" i="1"/>
  <c r="P13" i="1"/>
  <c r="S13" i="1"/>
  <c r="O16" i="1"/>
  <c r="AC10" i="1"/>
  <c r="S7" i="1"/>
  <c r="P7" i="1"/>
  <c r="AC11" i="1"/>
  <c r="AC12" i="1" s="1"/>
  <c r="U18" i="1"/>
  <c r="Y6" i="1"/>
  <c r="X6" i="1"/>
  <c r="O10" i="1"/>
  <c r="U15" i="1"/>
  <c r="P9" i="1"/>
  <c r="S9" i="1"/>
  <c r="O17" i="1" l="1"/>
  <c r="S19" i="1"/>
  <c r="P6" i="1"/>
  <c r="S6" i="1"/>
  <c r="O12" i="1"/>
  <c r="O11" i="1"/>
  <c r="AC13" i="1"/>
  <c r="U13" i="1"/>
  <c r="U14" i="1"/>
  <c r="U19" i="1"/>
  <c r="S10" i="1"/>
  <c r="P10" i="1"/>
  <c r="S16" i="1"/>
  <c r="P16" i="1"/>
  <c r="U5" i="1"/>
  <c r="Z5" i="1" s="1"/>
  <c r="U9" i="1"/>
  <c r="X7" i="1"/>
  <c r="Y7" i="1"/>
  <c r="U7" i="1"/>
  <c r="U8" i="1"/>
  <c r="U6" i="1" l="1"/>
  <c r="Z6" i="1" s="1"/>
  <c r="P11" i="1"/>
  <c r="S11" i="1"/>
  <c r="P12" i="1"/>
  <c r="U12" i="1" s="1"/>
  <c r="S12" i="1"/>
  <c r="P17" i="1"/>
  <c r="S17" i="1"/>
  <c r="AA6" i="1"/>
  <c r="AF6" i="1" s="1"/>
  <c r="Y8" i="1"/>
  <c r="X8" i="1"/>
  <c r="Z7" i="1"/>
  <c r="U10" i="1"/>
  <c r="AC14" i="1"/>
  <c r="AC15" i="1" s="1"/>
  <c r="AC16" i="1" s="1"/>
  <c r="AC17" i="1" s="1"/>
  <c r="AC18" i="1" s="1"/>
  <c r="AC19" i="1" s="1"/>
  <c r="Z8" i="1"/>
  <c r="AA5" i="1"/>
  <c r="AF5" i="1" s="1"/>
  <c r="AB5" i="1"/>
  <c r="AE5" i="1" s="1"/>
  <c r="U16" i="1"/>
  <c r="U17" i="1" l="1"/>
  <c r="U11" i="1"/>
  <c r="AB6" i="1"/>
  <c r="AE6" i="1" s="1"/>
  <c r="AJ5" i="1"/>
  <c r="AJ6" i="1"/>
  <c r="AG5" i="1"/>
  <c r="Y9" i="1"/>
  <c r="X9" i="1"/>
  <c r="AB8" i="1"/>
  <c r="AE8" i="1" s="1"/>
  <c r="AA8" i="1"/>
  <c r="AA7" i="1"/>
  <c r="AF7" i="1" s="1"/>
  <c r="AF8" i="1"/>
  <c r="AG6" i="1" l="1"/>
  <c r="AG7" i="1" s="1"/>
  <c r="AG8" i="1" s="1"/>
  <c r="AK5" i="1"/>
  <c r="AJ8" i="1"/>
  <c r="AJ7" i="1"/>
  <c r="Y10" i="1"/>
  <c r="X10" i="1"/>
  <c r="AB7" i="1"/>
  <c r="AE7" i="1" s="1"/>
  <c r="Z9" i="1"/>
  <c r="X11" i="1" l="1"/>
  <c r="Y11" i="1"/>
  <c r="Z10" i="1"/>
  <c r="AK6" i="1"/>
  <c r="AA9" i="1"/>
  <c r="AF9" i="1" s="1"/>
  <c r="AG9" i="1" l="1"/>
  <c r="AB9" i="1"/>
  <c r="AE9" i="1" s="1"/>
  <c r="AA10" i="1"/>
  <c r="AF10" i="1" s="1"/>
  <c r="AK7" i="1"/>
  <c r="Z11" i="1"/>
  <c r="AJ9" i="1"/>
  <c r="AJ10" i="1"/>
  <c r="Y12" i="1"/>
  <c r="X12" i="1"/>
  <c r="AK8" i="1" l="1"/>
  <c r="AB10" i="1"/>
  <c r="AE10" i="1" s="1"/>
  <c r="AG10" i="1"/>
  <c r="Z12" i="1"/>
  <c r="AA11" i="1"/>
  <c r="AF11" i="1" s="1"/>
  <c r="Y13" i="1"/>
  <c r="X13" i="1"/>
  <c r="AB11" i="1" l="1"/>
  <c r="AE11" i="1" s="1"/>
  <c r="AJ11" i="1"/>
  <c r="AG11" i="1"/>
  <c r="AK9" i="1"/>
  <c r="AK10" i="1" s="1"/>
  <c r="Y14" i="1"/>
  <c r="X14" i="1"/>
  <c r="Z13" i="1"/>
  <c r="AA12" i="1"/>
  <c r="AF12" i="1" s="1"/>
  <c r="AJ12" i="1" l="1"/>
  <c r="AA13" i="1"/>
  <c r="AF13" i="1" s="1"/>
  <c r="AJ13" i="1" s="1"/>
  <c r="Y15" i="1"/>
  <c r="X15" i="1"/>
  <c r="AG12" i="1"/>
  <c r="Z14" i="1"/>
  <c r="AB12" i="1"/>
  <c r="AE12" i="1" s="1"/>
  <c r="AK11" i="1"/>
  <c r="AG13" i="1" l="1"/>
  <c r="AB13" i="1"/>
  <c r="AE13" i="1" s="1"/>
  <c r="AK12" i="1"/>
  <c r="AA14" i="1"/>
  <c r="AF14" i="1" s="1"/>
  <c r="Y16" i="1"/>
  <c r="X16" i="1"/>
  <c r="Z15" i="1"/>
  <c r="AK13" i="1" l="1"/>
  <c r="AK14" i="1" s="1"/>
  <c r="AK15" i="1" s="1"/>
  <c r="AK16" i="1" s="1"/>
  <c r="AK17" i="1" s="1"/>
  <c r="AK18" i="1" s="1"/>
  <c r="AK19" i="1" s="1"/>
  <c r="E33" i="1" s="1"/>
  <c r="AH4" i="1"/>
  <c r="E31" i="1" s="1"/>
  <c r="AJ14" i="1"/>
  <c r="E34" i="1" s="1"/>
  <c r="AB14" i="1"/>
  <c r="AE14" i="1" s="1"/>
  <c r="AG14" i="1"/>
  <c r="X17" i="1"/>
  <c r="Y17" i="1"/>
  <c r="AA15" i="1"/>
  <c r="AF15" i="1" s="1"/>
  <c r="AJ15" i="1" s="1"/>
  <c r="Z16" i="1"/>
  <c r="AB15" i="1" l="1"/>
  <c r="AE15" i="1" s="1"/>
  <c r="AG15" i="1"/>
  <c r="Y18" i="1"/>
  <c r="X18" i="1"/>
  <c r="AA16" i="1"/>
  <c r="AF16" i="1" s="1"/>
  <c r="AJ16" i="1" s="1"/>
  <c r="Z17" i="1"/>
  <c r="AB16" i="1" l="1"/>
  <c r="AE16" i="1" s="1"/>
  <c r="AA17" i="1"/>
  <c r="AF17" i="1" s="1"/>
  <c r="AJ17" i="1" s="1"/>
  <c r="Y19" i="1"/>
  <c r="X19" i="1"/>
  <c r="Z18" i="1"/>
  <c r="AG16" i="1"/>
  <c r="AG17" i="1" s="1"/>
  <c r="AB17" i="1" l="1"/>
  <c r="AE17" i="1" s="1"/>
  <c r="Z19" i="1"/>
  <c r="AA18" i="1"/>
  <c r="AF18" i="1" s="1"/>
  <c r="AG18" i="1" l="1"/>
  <c r="AJ18" i="1"/>
  <c r="AA19" i="1"/>
  <c r="AF19" i="1" s="1"/>
  <c r="AB18" i="1"/>
  <c r="AE18" i="1" s="1"/>
  <c r="AI4" i="1" l="1"/>
  <c r="E32" i="1" s="1"/>
  <c r="AJ19" i="1"/>
  <c r="E35" i="1" s="1"/>
  <c r="AB19" i="1"/>
  <c r="AE19" i="1" s="1"/>
  <c r="AG19" i="1"/>
</calcChain>
</file>

<file path=xl/sharedStrings.xml><?xml version="1.0" encoding="utf-8"?>
<sst xmlns="http://schemas.openxmlformats.org/spreadsheetml/2006/main" count="93" uniqueCount="79">
  <si>
    <t>补贴上限</t>
    <phoneticPr fontId="2" type="noConversion"/>
  </si>
  <si>
    <t>5年等额本金贷款</t>
    <phoneticPr fontId="2" type="noConversion"/>
  </si>
  <si>
    <t>Input</t>
    <phoneticPr fontId="2" type="noConversion"/>
  </si>
  <si>
    <t>额定功率</t>
    <phoneticPr fontId="2" type="noConversion"/>
  </si>
  <si>
    <t>kw</t>
    <phoneticPr fontId="2" type="noConversion"/>
  </si>
  <si>
    <t>容量保持率</t>
    <phoneticPr fontId="2" type="noConversion"/>
  </si>
  <si>
    <t>充电电量</t>
    <phoneticPr fontId="2" type="noConversion"/>
  </si>
  <si>
    <t>放电电量</t>
    <phoneticPr fontId="2" type="noConversion"/>
  </si>
  <si>
    <t>谷时充电费用</t>
    <phoneticPr fontId="2" type="noConversion"/>
  </si>
  <si>
    <t>平时充电费用</t>
    <phoneticPr fontId="2" type="noConversion"/>
  </si>
  <si>
    <t>放电收入</t>
    <phoneticPr fontId="2" type="noConversion"/>
  </si>
  <si>
    <t>峰谷电价所得</t>
    <phoneticPr fontId="2" type="noConversion"/>
  </si>
  <si>
    <t>年电费差收入</t>
    <phoneticPr fontId="2" type="noConversion"/>
  </si>
  <si>
    <t>运维费用</t>
    <phoneticPr fontId="2" type="noConversion"/>
  </si>
  <si>
    <t>保险费用</t>
    <phoneticPr fontId="2" type="noConversion"/>
  </si>
  <si>
    <t>增值税</t>
    <phoneticPr fontId="2" type="noConversion"/>
  </si>
  <si>
    <t>折旧</t>
    <phoneticPr fontId="2" type="noConversion"/>
  </si>
  <si>
    <t>经营所得 (元)</t>
    <phoneticPr fontId="2" type="noConversion"/>
  </si>
  <si>
    <t>自有资金</t>
    <phoneticPr fontId="2" type="noConversion"/>
  </si>
  <si>
    <t>每年还款</t>
    <phoneticPr fontId="2" type="noConversion"/>
  </si>
  <si>
    <t>贷款余额</t>
    <phoneticPr fontId="2" type="noConversion"/>
  </si>
  <si>
    <t>当年利息(元)</t>
    <phoneticPr fontId="2" type="noConversion"/>
  </si>
  <si>
    <t>税前利润</t>
    <phoneticPr fontId="2" type="noConversion"/>
  </si>
  <si>
    <t>所得税 (元)</t>
    <phoneticPr fontId="2" type="noConversion"/>
  </si>
  <si>
    <t>净利润 (元)</t>
    <phoneticPr fontId="2" type="noConversion"/>
  </si>
  <si>
    <t>补贴（元/kwh）</t>
    <phoneticPr fontId="2" type="noConversion"/>
  </si>
  <si>
    <t>补贴（元/年）</t>
    <phoneticPr fontId="2" type="noConversion"/>
  </si>
  <si>
    <t>补贴后净利润</t>
    <phoneticPr fontId="2" type="noConversion"/>
  </si>
  <si>
    <t>现金流</t>
    <phoneticPr fontId="2" type="noConversion"/>
  </si>
  <si>
    <t>累计现金流</t>
    <phoneticPr fontId="2" type="noConversion"/>
  </si>
  <si>
    <t>IRR(10年)</t>
    <phoneticPr fontId="2" type="noConversion"/>
  </si>
  <si>
    <t>IRR(15年)</t>
    <phoneticPr fontId="2" type="noConversion"/>
  </si>
  <si>
    <t>NPV</t>
    <phoneticPr fontId="2" type="noConversion"/>
  </si>
  <si>
    <t>静态回收年限</t>
    <phoneticPr fontId="2" type="noConversion"/>
  </si>
  <si>
    <t>额定容量</t>
    <phoneticPr fontId="2" type="noConversion"/>
  </si>
  <si>
    <t>kwh</t>
    <phoneticPr fontId="2" type="noConversion"/>
  </si>
  <si>
    <t>系统设备价格</t>
    <phoneticPr fontId="2" type="noConversion"/>
  </si>
  <si>
    <t>元/kWh</t>
    <phoneticPr fontId="2" type="noConversion"/>
  </si>
  <si>
    <t>系统设备总价</t>
    <phoneticPr fontId="2" type="noConversion"/>
  </si>
  <si>
    <t>元</t>
    <phoneticPr fontId="2" type="noConversion"/>
  </si>
  <si>
    <t>施工费用</t>
    <phoneticPr fontId="2" type="noConversion"/>
  </si>
  <si>
    <t>元/年</t>
    <phoneticPr fontId="2" type="noConversion"/>
  </si>
  <si>
    <t>峰时电价</t>
    <phoneticPr fontId="2" type="noConversion"/>
  </si>
  <si>
    <t>元/kwh</t>
    <phoneticPr fontId="2" type="noConversion"/>
  </si>
  <si>
    <t>平时电价</t>
    <phoneticPr fontId="2" type="noConversion"/>
  </si>
  <si>
    <t>谷时电价</t>
    <phoneticPr fontId="2" type="noConversion"/>
  </si>
  <si>
    <t>充放电深度</t>
    <phoneticPr fontId="2" type="noConversion"/>
  </si>
  <si>
    <t>系统综合效率</t>
    <phoneticPr fontId="2" type="noConversion"/>
  </si>
  <si>
    <t>充电效率</t>
    <phoneticPr fontId="2" type="noConversion"/>
  </si>
  <si>
    <t>放电效率</t>
    <phoneticPr fontId="2" type="noConversion"/>
  </si>
  <si>
    <t>自有资金比例</t>
    <phoneticPr fontId="2" type="noConversion"/>
  </si>
  <si>
    <t>折现率</t>
    <phoneticPr fontId="2" type="noConversion"/>
  </si>
  <si>
    <t>年运行天数</t>
    <phoneticPr fontId="2" type="noConversion"/>
  </si>
  <si>
    <t>天</t>
    <phoneticPr fontId="2" type="noConversion"/>
  </si>
  <si>
    <t>每天循环次数</t>
    <phoneticPr fontId="2" type="noConversion"/>
  </si>
  <si>
    <t>次</t>
    <phoneticPr fontId="2" type="noConversion"/>
  </si>
  <si>
    <t>谷充电</t>
    <phoneticPr fontId="2" type="noConversion"/>
  </si>
  <si>
    <t>平充电</t>
    <phoneticPr fontId="2" type="noConversion"/>
  </si>
  <si>
    <t>运营年限</t>
    <phoneticPr fontId="2" type="noConversion"/>
  </si>
  <si>
    <t>年</t>
    <phoneticPr fontId="2" type="noConversion"/>
  </si>
  <si>
    <t>循环寿命@70%EOL</t>
    <phoneticPr fontId="2" type="noConversion"/>
  </si>
  <si>
    <t>是否更换电池</t>
    <phoneticPr fontId="2" type="noConversion"/>
  </si>
  <si>
    <t>更换电池成本（假设）</t>
    <phoneticPr fontId="2" type="noConversion"/>
  </si>
  <si>
    <t>元/wh</t>
    <phoneticPr fontId="2" type="noConversion"/>
  </si>
  <si>
    <t>更换电池总成本（假设）</t>
    <phoneticPr fontId="2" type="noConversion"/>
  </si>
  <si>
    <t>元</t>
    <phoneticPr fontId="2" type="noConversion"/>
  </si>
  <si>
    <t>Output</t>
    <phoneticPr fontId="2" type="noConversion"/>
  </si>
  <si>
    <t>自有资金</t>
    <phoneticPr fontId="2" type="noConversion"/>
  </si>
  <si>
    <t>贷款金额</t>
    <phoneticPr fontId="2" type="noConversion"/>
  </si>
  <si>
    <t>IRR_10年</t>
    <phoneticPr fontId="2" type="noConversion"/>
  </si>
  <si>
    <t>IRR_15年</t>
    <phoneticPr fontId="2" type="noConversion"/>
  </si>
  <si>
    <t>静态回收年限</t>
    <phoneticPr fontId="2" type="noConversion"/>
  </si>
  <si>
    <t>NPV_10年</t>
    <phoneticPr fontId="2" type="noConversion"/>
  </si>
  <si>
    <t>NPV_15年</t>
    <phoneticPr fontId="2" type="noConversion"/>
  </si>
  <si>
    <t>度电成本</t>
    <phoneticPr fontId="2" type="noConversion"/>
  </si>
  <si>
    <t>元/kWh</t>
    <phoneticPr fontId="2" type="noConversion"/>
  </si>
  <si>
    <t>必填</t>
    <phoneticPr fontId="2" type="noConversion"/>
  </si>
  <si>
    <t>参考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</si>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</sst>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0_ "/>
    <numFmt numFmtId="178" formatCode="0_ "/>
  </numFmts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76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4" fillId="0" borderId="0" xfId="1" applyNumberFormat="1" applyFont="1">
      <alignment vertical="center"/>
    </xf>
    <xf numFmtId="9" fontId="0" fillId="4" borderId="0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  <xf numFmtId="0" fontId="5" fillId="3" borderId="0" xfId="2" applyFill="1" applyBorder="1">
      <alignment vertical="center"/>
    </xf>
    <xf numFmtId="0" fontId="0" fillId="0" borderId="6" xfId="0" applyBorder="1">
      <alignment vertical="center"/>
    </xf>
    <xf numFmtId="0" fontId="0" fillId="3" borderId="7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76" fontId="0" fillId="0" borderId="0" xfId="1" applyNumberFormat="1" applyFont="1" applyBorder="1">
      <alignment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" fontId="0" fillId="0" borderId="7" xfId="0" applyNumberFormat="1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4490;&#29615;&#23551;&#21629;@70%25E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K36"/>
  <sheetViews>
    <sheetView tabSelected="1" workbookViewId="0">
      <selection activeCell="J12" sqref="J12"/>
    </sheetView>
  </sheetViews>
  <sheetFormatPr defaultRowHeight="13.5"/>
  <cols>
    <col min="1" max="1" width="2.375" customWidth="1"/>
    <col min="2" max="2" width="5.5" customWidth="1"/>
    <col min="4" max="4" width="21.125" customWidth="1"/>
    <col min="5" max="5" width="11.625" customWidth="1"/>
    <col min="6" max="6" width="11.5" customWidth="1"/>
    <col min="7" max="7" width="5.875" customWidth="1"/>
    <col min="8" max="8" width="5.25" customWidth="1"/>
    <col min="9" max="11" width="11.125" customWidth="1"/>
    <col min="12" max="12" width="12.375" customWidth="1"/>
    <col min="13" max="13" width="12.625" customWidth="1"/>
    <col min="14" max="14" width="10.75" customWidth="1"/>
    <col min="15" max="16" width="12.75" customWidth="1"/>
    <col min="18" max="18" width="9.625" customWidth="1"/>
    <col min="19" max="19" width="11" customWidth="1"/>
    <col min="20" max="20" width="9.5" bestFit="1" customWidth="1"/>
    <col min="21" max="21" width="17.25" bestFit="1" customWidth="1"/>
    <col min="22" max="22" width="10.625" customWidth="1"/>
    <col min="23" max="23" width="10" customWidth="1"/>
    <col min="24" max="24" width="9.5" customWidth="1"/>
    <col min="25" max="26" width="11.625" customWidth="1"/>
    <col min="27" max="27" width="11.875" customWidth="1"/>
    <col min="28" max="28" width="17.25" bestFit="1" customWidth="1"/>
    <col min="29" max="29" width="10.875" customWidth="1"/>
    <col min="30" max="30" width="15.25" customWidth="1"/>
    <col min="31" max="31" width="13.75" customWidth="1"/>
    <col min="32" max="32" width="12.75" bestFit="1" customWidth="1"/>
    <col min="33" max="33" width="12.75" customWidth="1"/>
    <col min="36" max="36" width="12.75" bestFit="1" customWidth="1"/>
  </cols>
  <sheetData>
    <row r="1" spans="2:37">
      <c r="AC1" t="s">
        <v>0</v>
      </c>
    </row>
    <row r="2" spans="2:37" ht="17.25" thickBot="1">
      <c r="W2" s="1" t="s">
        <v>1</v>
      </c>
      <c r="X2" s="1"/>
      <c r="Y2" s="1"/>
      <c r="AC2" s="2">
        <v>0</v>
      </c>
      <c r="AF2" s="3"/>
      <c r="AG2" s="3"/>
    </row>
    <row r="3" spans="2:37">
      <c r="B3" s="2" t="s">
        <v>76</v>
      </c>
      <c r="C3" s="39" t="s">
        <v>2</v>
      </c>
      <c r="D3" s="4" t="s">
        <v>3</v>
      </c>
      <c r="E3" s="37">
        <v>8500</v>
      </c>
      <c r="F3" s="5" t="s">
        <v>4</v>
      </c>
      <c r="H3" s="6" t="s">
        <v>78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6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s="7" t="s">
        <v>19</v>
      </c>
      <c r="X3" t="s">
        <v>20</v>
      </c>
      <c r="Y3" t="s">
        <v>21</v>
      </c>
      <c r="Z3" s="8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</row>
    <row r="4" spans="2:37">
      <c r="B4" s="11" t="s">
        <v>77</v>
      </c>
      <c r="C4" s="9"/>
      <c r="D4" s="10" t="s">
        <v>34</v>
      </c>
      <c r="E4" s="36">
        <v>25500</v>
      </c>
      <c r="F4" s="12" t="s">
        <v>35</v>
      </c>
      <c r="H4">
        <v>0</v>
      </c>
      <c r="I4" s="13">
        <v>1</v>
      </c>
      <c r="J4" s="13"/>
      <c r="K4" s="13"/>
      <c r="L4" s="13"/>
      <c r="S4" s="14">
        <v>0</v>
      </c>
      <c r="V4">
        <f>E29</f>
        <v>11475000</v>
      </c>
      <c r="X4">
        <f>(1-自有资金比例)*系统设备总价</f>
        <v>26775000</v>
      </c>
      <c r="AA4" s="13">
        <v>0.25</v>
      </c>
      <c r="AC4" s="2">
        <v>0</v>
      </c>
      <c r="AD4">
        <v>0</v>
      </c>
      <c r="AF4">
        <f>-1*V4</f>
        <v>-11475000</v>
      </c>
      <c r="AG4">
        <f>AF4</f>
        <v>-11475000</v>
      </c>
      <c r="AH4" s="13">
        <f>IRR(AF4:AF14)</f>
        <v>5.0587715622626428E-2</v>
      </c>
      <c r="AI4" s="13">
        <f>IRR(AF4:AF19)</f>
        <v>0.11854766051011767</v>
      </c>
    </row>
    <row r="5" spans="2:37">
      <c r="C5" s="9"/>
      <c r="D5" s="10" t="s">
        <v>36</v>
      </c>
      <c r="E5" s="11">
        <v>1500</v>
      </c>
      <c r="F5" s="12" t="s">
        <v>37</v>
      </c>
      <c r="H5">
        <v>1</v>
      </c>
      <c r="I5" s="15">
        <f>1-$E$19*$E$20*30%/循环寿命_70_EOL*H5</f>
        <v>0.97030000000000005</v>
      </c>
      <c r="J5" s="16">
        <f>0.5*(I4+I5)*$E$4*$E$13/$E$15</f>
        <v>25800.279729729729</v>
      </c>
      <c r="K5" s="16">
        <f>0.5*(I4+I5)*$E$4*$E$13*$E$15</f>
        <v>22075.364343750003</v>
      </c>
      <c r="L5" s="16">
        <f>J5*谷充电*谷时电价</f>
        <v>5418.058743243243</v>
      </c>
      <c r="M5" s="16">
        <f>J5*平充电*平时电价</f>
        <v>11610.125878378378</v>
      </c>
      <c r="N5" s="16">
        <f>每天循环次数*K5*峰时电价</f>
        <v>36093.220702031256</v>
      </c>
      <c r="O5" s="17">
        <f>N5-L5-M5</f>
        <v>19065.036080409634</v>
      </c>
      <c r="P5" s="17">
        <f>O5*年运行天数</f>
        <v>6291461.9065351794</v>
      </c>
      <c r="Q5">
        <f>IF(H5&lt;运营年限+1,-1*运维费用,0)</f>
        <v>-36000</v>
      </c>
      <c r="R5">
        <f>IF(H5&lt;运营年限+1,保险费用*-1,0)</f>
        <v>-11474.999999999998</v>
      </c>
      <c r="S5" s="16">
        <f>O5*增值税*(-1)</f>
        <v>0</v>
      </c>
      <c r="T5">
        <f>IF(H5&lt;运营年限+1,-1*系统设备总价/运营年限,0)</f>
        <v>-2550000</v>
      </c>
      <c r="U5" s="17">
        <f>电费差收入+运维费+保险费+折旧+S5</f>
        <v>3693986.9065351794</v>
      </c>
      <c r="V5" s="17"/>
      <c r="W5">
        <f>(1-自有资金比例)*系统设备总价/5*-1</f>
        <v>-5355000</v>
      </c>
      <c r="X5">
        <f>X4+W5</f>
        <v>21420000</v>
      </c>
      <c r="Y5">
        <f>-1*折现率*X4</f>
        <v>-1606500</v>
      </c>
      <c r="Z5" s="17">
        <f>U5+Y5</f>
        <v>2087486.9065351794</v>
      </c>
      <c r="AA5" s="17">
        <f>Z5*所得税率*-1</f>
        <v>-521871.72663379484</v>
      </c>
      <c r="AB5" s="17">
        <f>Z5+AA5</f>
        <v>1565615.1799013845</v>
      </c>
      <c r="AC5">
        <f>IF(K5*$AC$4*年运行天数*每天循环次数&gt;$AC$2,$AC$2,K5*$AC$4*年运行天数*每天循环次数)</f>
        <v>0</v>
      </c>
      <c r="AD5">
        <f>$AD$4</f>
        <v>0</v>
      </c>
      <c r="AE5" s="17">
        <f>AB5+AC5+AD5</f>
        <v>1565615.1799013845</v>
      </c>
      <c r="AF5" s="17">
        <f>P5+Q5+R5+W5+Y5+AA5+AC5+AD5</f>
        <v>-1239384.8200986155</v>
      </c>
      <c r="AG5" s="18">
        <f>AG4+AF5</f>
        <v>-12714384.820098616</v>
      </c>
      <c r="AJ5">
        <f>IF(H5&gt;运营年限,"",NPV(折现率,$AF$5:AF5)+AF4)</f>
        <v>-12644230.962357184</v>
      </c>
      <c r="AK5" t="str">
        <f>IF(AG5&lt;0,"",H5-AG5/AF6)</f>
        <v/>
      </c>
    </row>
    <row r="6" spans="2:37">
      <c r="C6" s="9"/>
      <c r="D6" s="10" t="s">
        <v>38</v>
      </c>
      <c r="E6" s="11">
        <f>E5*E4</f>
        <v>38250000</v>
      </c>
      <c r="F6" s="12" t="s">
        <v>39</v>
      </c>
      <c r="H6">
        <v>2</v>
      </c>
      <c r="I6" s="15">
        <f>1-$E$19*$E$20*30%/循环寿命_70_EOL*H6</f>
        <v>0.94059999999999999</v>
      </c>
      <c r="J6" s="16">
        <f>0.5*(I5+I6)*$E$4*$E$13/$E$15</f>
        <v>25022.460810810811</v>
      </c>
      <c r="K6" s="16">
        <f>0.5*(I5+I6)*$E$4*$E$13*$E$15</f>
        <v>21409.843031250002</v>
      </c>
      <c r="L6" s="16">
        <f>J6*谷充电*谷时电价</f>
        <v>5254.71677027027</v>
      </c>
      <c r="M6" s="16">
        <f>J6*平充电*平时电价</f>
        <v>11260.107364864865</v>
      </c>
      <c r="N6" s="16">
        <f>每天循环次数*K6*峰时电价</f>
        <v>35005.093356093756</v>
      </c>
      <c r="O6" s="17">
        <f t="shared" ref="O6:O19" si="0">N6-L6-M6</f>
        <v>18490.269220958617</v>
      </c>
      <c r="P6" s="17">
        <f>O6*年运行天数</f>
        <v>6101788.8429163434</v>
      </c>
      <c r="Q6">
        <f>IF(H6&lt;运营年限+1,-1*运维费用,0)</f>
        <v>-36000</v>
      </c>
      <c r="R6">
        <f>IF(H6&lt;运营年限+1,保险费用*-1,0)</f>
        <v>-11474.999999999998</v>
      </c>
      <c r="S6" s="16">
        <f>O6*增值税*(-1)</f>
        <v>0</v>
      </c>
      <c r="T6">
        <f>IF(H6&lt;运营年限+1,-1*系统设备总价/运营年限,0)</f>
        <v>-2550000</v>
      </c>
      <c r="U6" s="17">
        <f>P6+运维费+保险费+折旧+S6</f>
        <v>3504313.8429163434</v>
      </c>
      <c r="V6" s="17"/>
      <c r="W6">
        <f>(1-自有资金比例)*系统设备总价/5*-1</f>
        <v>-5355000</v>
      </c>
      <c r="X6">
        <f t="shared" ref="X6:X19" si="1">X5+W6</f>
        <v>16065000</v>
      </c>
      <c r="Y6">
        <f>-1*折现率*X5</f>
        <v>-1285200</v>
      </c>
      <c r="Z6" s="17">
        <f t="shared" ref="Z6:Z19" si="2">U6+Y6</f>
        <v>2219113.8429163434</v>
      </c>
      <c r="AA6" s="17">
        <f>Z6*所得税率*-1</f>
        <v>-554778.46072908584</v>
      </c>
      <c r="AB6" s="17">
        <f t="shared" ref="AB6:AB19" si="3">Z6+AA6</f>
        <v>1664335.3821872575</v>
      </c>
      <c r="AC6">
        <f>IF(SUM($AC$5:AC5)&gt;=$AC$2,0,IF(K6*$AC$4*年运行天数*每天循环次数&gt;$AC$2,$AC$2,K6*$AC$4*年运行天数*每天循环次数))</f>
        <v>0</v>
      </c>
      <c r="AD6">
        <f t="shared" ref="AD6:AD19" si="4">$AD$4</f>
        <v>0</v>
      </c>
      <c r="AE6" s="17">
        <f t="shared" ref="AE6:AE19" si="5">AB6+AC6+AD6</f>
        <v>1664335.3821872575</v>
      </c>
      <c r="AF6" s="17">
        <f t="shared" ref="AF6:AF19" si="6">P6+Q6+R6+W6+Y6+AA6+AC6+AD6</f>
        <v>-1140664.6178127425</v>
      </c>
      <c r="AG6" s="18">
        <f>AG5+AF6</f>
        <v>-13855049.437911358</v>
      </c>
      <c r="AJ6">
        <f>IF(H6&gt;运营年限,"",NPV(折现率,$AF$5:AF6)+AF5)</f>
        <v>-3423803.2315593446</v>
      </c>
      <c r="AK6" t="str">
        <f>IF(SUM($AK$5:AK5)=0,IF(AG6&lt;0,"",H6-AG6/AF7),"")</f>
        <v/>
      </c>
    </row>
    <row r="7" spans="2:37">
      <c r="C7" s="9"/>
      <c r="D7" s="10" t="s">
        <v>40</v>
      </c>
      <c r="E7" s="11">
        <f>E4*20</f>
        <v>510000</v>
      </c>
      <c r="F7" s="12" t="s">
        <v>41</v>
      </c>
      <c r="H7">
        <v>3</v>
      </c>
      <c r="I7" s="15">
        <f>1-$E$19*$E$20*30%/循环寿命_70_EOL*H7</f>
        <v>0.91090000000000004</v>
      </c>
      <c r="J7" s="16">
        <f>0.5*(I6+I7)*$E$4*$E$13/$E$15</f>
        <v>24244.64189189189</v>
      </c>
      <c r="K7" s="16">
        <f>0.5*(I6+I7)*$E$4*$E$13*$E$15</f>
        <v>20744.321718750001</v>
      </c>
      <c r="L7" s="16">
        <f>J7*谷充电*谷时电价</f>
        <v>5091.3747972972969</v>
      </c>
      <c r="M7" s="16">
        <f>J7*平充电*平时电价</f>
        <v>10910.088851351351</v>
      </c>
      <c r="N7" s="16">
        <f>每天循环次数*K7*峰时电价</f>
        <v>33916.966010156255</v>
      </c>
      <c r="O7" s="17">
        <f t="shared" si="0"/>
        <v>17915.502361507606</v>
      </c>
      <c r="P7" s="17">
        <f>O7*年运行天数</f>
        <v>5912115.7792975102</v>
      </c>
      <c r="Q7">
        <f>IF(H7&lt;运营年限+1,-1*运维费用,0)</f>
        <v>-36000</v>
      </c>
      <c r="R7">
        <f>IF(H7&lt;运营年限+1,保险费用*-1,0)</f>
        <v>-11474.999999999998</v>
      </c>
      <c r="S7" s="16">
        <f>O7*增值税*(-1)</f>
        <v>0</v>
      </c>
      <c r="T7">
        <f>IF(H7&lt;运营年限+1,-1*系统设备总价/运营年限,0)</f>
        <v>-2550000</v>
      </c>
      <c r="U7" s="17">
        <f>P7+运维费+保险费+折旧+S7</f>
        <v>3314640.7792975102</v>
      </c>
      <c r="V7" s="17"/>
      <c r="W7">
        <f>(1-自有资金比例)*系统设备总价/5*-1</f>
        <v>-5355000</v>
      </c>
      <c r="X7">
        <f t="shared" si="1"/>
        <v>10710000</v>
      </c>
      <c r="Y7">
        <f>-1*折现率*X6</f>
        <v>-963900</v>
      </c>
      <c r="Z7" s="17">
        <f t="shared" si="2"/>
        <v>2350740.7792975102</v>
      </c>
      <c r="AA7" s="17">
        <f>Z7*所得税率*-1</f>
        <v>-587685.19482437754</v>
      </c>
      <c r="AB7" s="17">
        <f t="shared" si="3"/>
        <v>1763055.5844731326</v>
      </c>
      <c r="AC7">
        <f>IF(SUM($AC$5:AC6)&gt;=$AC$2,0,IF(K7*$AC$4*年运行天数*每天循环次数&gt;$AC$2,$AC$2,K7*$AC$4*年运行天数*每天循环次数))</f>
        <v>0</v>
      </c>
      <c r="AD7">
        <f t="shared" si="4"/>
        <v>0</v>
      </c>
      <c r="AE7" s="17">
        <f t="shared" si="5"/>
        <v>1763055.5844731326</v>
      </c>
      <c r="AF7" s="17">
        <f t="shared" si="6"/>
        <v>-1041944.4155268674</v>
      </c>
      <c r="AG7" s="18">
        <f t="shared" ref="AG7:AG19" si="7">AG6+AF7</f>
        <v>-14896993.853438225</v>
      </c>
      <c r="AJ7">
        <f>IF(H7&gt;运营年限,"",NPV(折现率,$AF$5:AF7)+AF6)</f>
        <v>-4199919.6523976503</v>
      </c>
      <c r="AK7" t="str">
        <f>IF(SUM($AK$5:AK6)=0,IF(AG7&lt;0,"",H7-AG7/AF8),"")</f>
        <v/>
      </c>
    </row>
    <row r="8" spans="2:37">
      <c r="C8" s="9"/>
      <c r="D8" s="10" t="s">
        <v>13</v>
      </c>
      <c r="E8" s="11">
        <f>3000*12</f>
        <v>36000</v>
      </c>
      <c r="F8" s="12" t="s">
        <v>41</v>
      </c>
      <c r="H8">
        <v>4</v>
      </c>
      <c r="I8" s="15">
        <f>1-$E$19*$E$20*30%/循环寿命_70_EOL*H8</f>
        <v>0.88119999999999998</v>
      </c>
      <c r="J8" s="16">
        <f>0.5*(I7+I8)*$E$4*$E$13/$E$15</f>
        <v>23466.822972972972</v>
      </c>
      <c r="K8" s="16">
        <f>0.5*(I7+I8)*$E$4*$E$13*$E$15</f>
        <v>20078.80040625</v>
      </c>
      <c r="L8" s="16">
        <f>J8*谷充电*谷时电价</f>
        <v>4928.0328243243239</v>
      </c>
      <c r="M8" s="16">
        <f>J8*平充电*平时电价</f>
        <v>10560.070337837838</v>
      </c>
      <c r="N8" s="16">
        <f>每天循环次数*K8*峰时电价</f>
        <v>32828.838664218754</v>
      </c>
      <c r="O8" s="17">
        <f t="shared" si="0"/>
        <v>17340.735502056592</v>
      </c>
      <c r="P8" s="17">
        <f>O8*年运行天数</f>
        <v>5722442.7156786751</v>
      </c>
      <c r="Q8">
        <f>IF(H8&lt;运营年限+1,-1*运维费用,0)</f>
        <v>-36000</v>
      </c>
      <c r="R8">
        <f>IF(H8&lt;运营年限+1,保险费用*-1,0)</f>
        <v>-11474.999999999998</v>
      </c>
      <c r="S8" s="16">
        <f>O8*增值税*(-1)</f>
        <v>0</v>
      </c>
      <c r="T8">
        <f>IF(H8&lt;运营年限+1,-1*系统设备总价/运营年限,0)</f>
        <v>-2550000</v>
      </c>
      <c r="U8" s="17">
        <f>P8+运维费+保险费+折旧+S8</f>
        <v>3124967.7156786751</v>
      </c>
      <c r="V8" s="17"/>
      <c r="W8">
        <f>(1-自有资金比例)*系统设备总价/5*-1</f>
        <v>-5355000</v>
      </c>
      <c r="X8">
        <f t="shared" si="1"/>
        <v>5355000</v>
      </c>
      <c r="Y8">
        <f>-1*折现率*X7</f>
        <v>-642600</v>
      </c>
      <c r="Z8" s="17">
        <f t="shared" si="2"/>
        <v>2482367.7156786751</v>
      </c>
      <c r="AA8" s="17">
        <f>Z8*所得税率*-1</f>
        <v>-620591.92891966878</v>
      </c>
      <c r="AB8" s="17">
        <f t="shared" si="3"/>
        <v>1861775.7867590063</v>
      </c>
      <c r="AC8">
        <f>IF(SUM($AC$5:AC7)&gt;=$AC$2,0,IF(K8*$AC$4*年运行天数*每天循环次数&gt;$AC$2,$AC$2,K8*$AC$4*年运行天数*每天循环次数))</f>
        <v>0</v>
      </c>
      <c r="AD8">
        <f t="shared" si="4"/>
        <v>0</v>
      </c>
      <c r="AE8" s="17">
        <f t="shared" si="5"/>
        <v>1861775.7867590063</v>
      </c>
      <c r="AF8" s="17">
        <f t="shared" si="6"/>
        <v>-943224.21324099367</v>
      </c>
      <c r="AG8" s="18">
        <f t="shared" si="7"/>
        <v>-15840218.066679219</v>
      </c>
      <c r="AJ8">
        <f>IF(H8&gt;运营年限,"",NPV(折现率,$AF$5:AF8)+AF7)</f>
        <v>-4848321.3724326342</v>
      </c>
      <c r="AK8" t="str">
        <f>IF(SUM($AK$5:AK7)=0,IF(AG8&lt;0,"",H8-AG8/AF9),"")</f>
        <v/>
      </c>
    </row>
    <row r="9" spans="2:37">
      <c r="C9" s="9"/>
      <c r="D9" s="10" t="s">
        <v>14</v>
      </c>
      <c r="E9" s="11">
        <f>E6*0.0003</f>
        <v>11474.999999999998</v>
      </c>
      <c r="F9" s="12" t="s">
        <v>41</v>
      </c>
      <c r="H9">
        <v>5</v>
      </c>
      <c r="I9" s="15">
        <f>1-$E$19*$E$20*30%/循环寿命_70_EOL*H9</f>
        <v>0.85150000000000003</v>
      </c>
      <c r="J9" s="16">
        <f>0.5*(I8+I9)*$E$4*$E$13/$E$15</f>
        <v>22689.00405405405</v>
      </c>
      <c r="K9" s="16">
        <f>0.5*(I8+I9)*$E$4*$E$13*$E$15</f>
        <v>19413.279093749999</v>
      </c>
      <c r="L9" s="16">
        <f>J9*谷充电*谷时电价</f>
        <v>4764.6908513513508</v>
      </c>
      <c r="M9" s="16">
        <f>J9*平充电*平时电价</f>
        <v>10210.051824324322</v>
      </c>
      <c r="N9" s="16">
        <f>每天循环次数*K9*峰时电价</f>
        <v>31740.711318281254</v>
      </c>
      <c r="O9" s="17">
        <f t="shared" si="0"/>
        <v>16765.968642605578</v>
      </c>
      <c r="P9" s="17">
        <f>O9*年运行天数</f>
        <v>5532769.652059841</v>
      </c>
      <c r="Q9">
        <f>IF(H9&lt;运营年限+1,-1*运维费用,0)</f>
        <v>-36000</v>
      </c>
      <c r="R9">
        <f>IF(H9&lt;运营年限+1,保险费用*-1,0)</f>
        <v>-11474.999999999998</v>
      </c>
      <c r="S9" s="16">
        <f>O9*增值税*(-1)</f>
        <v>0</v>
      </c>
      <c r="T9">
        <f>IF(H9&lt;运营年限+1,-1*系统设备总价/运营年限,0)</f>
        <v>-2550000</v>
      </c>
      <c r="U9" s="17">
        <f>P9+运维费+保险费+折旧+S9</f>
        <v>2935294.652059841</v>
      </c>
      <c r="V9" s="17"/>
      <c r="W9">
        <f>(1-自有资金比例)*系统设备总价/5*-1</f>
        <v>-5355000</v>
      </c>
      <c r="X9">
        <f t="shared" si="1"/>
        <v>0</v>
      </c>
      <c r="Y9">
        <f>-1*折现率*X8</f>
        <v>-321300</v>
      </c>
      <c r="Z9" s="17">
        <f t="shared" si="2"/>
        <v>2613994.652059841</v>
      </c>
      <c r="AA9" s="17">
        <f>Z9*所得税率*-1</f>
        <v>-653498.66301496024</v>
      </c>
      <c r="AB9" s="17">
        <f t="shared" si="3"/>
        <v>1960495.9890448807</v>
      </c>
      <c r="AC9">
        <f>IF(SUM($AC$5:AC8)&gt;=$AC$2,0,IF(K9*$AC$4*年运行天数*每天循环次数&gt;$AC$2,$AC$2,K9*$AC$4*年运行天数*每天循环次数))</f>
        <v>0</v>
      </c>
      <c r="AD9">
        <f t="shared" si="4"/>
        <v>0</v>
      </c>
      <c r="AE9" s="17">
        <f t="shared" si="5"/>
        <v>1960495.9890448807</v>
      </c>
      <c r="AF9" s="17">
        <f t="shared" si="6"/>
        <v>-844504.01095511927</v>
      </c>
      <c r="AG9" s="18">
        <f t="shared" si="7"/>
        <v>-16684722.077634338</v>
      </c>
      <c r="AJ9">
        <f>IF(H9&gt;运营年限,"",NPV(折现率,$AF$5:AF9)+AF8)</f>
        <v>-5380663.6943511385</v>
      </c>
      <c r="AK9" t="str">
        <f>IF(SUM($AK$5:AK8)=0,IF(AG9&lt;0,"",H9-AG9/AF10),"")</f>
        <v/>
      </c>
    </row>
    <row r="10" spans="2:37">
      <c r="C10" s="9"/>
      <c r="D10" s="10" t="s">
        <v>42</v>
      </c>
      <c r="E10" s="36">
        <v>1.0900000000000001</v>
      </c>
      <c r="F10" s="12" t="s">
        <v>43</v>
      </c>
      <c r="H10">
        <v>6</v>
      </c>
      <c r="I10" s="15">
        <f>1-$E$19*$E$20*30%/循环寿命_70_EOL*H10</f>
        <v>0.82179999999999997</v>
      </c>
      <c r="J10" s="16">
        <f>0.5*(I9+I10)*$E$4*$E$13/$E$15</f>
        <v>21911.185135135132</v>
      </c>
      <c r="K10" s="16">
        <f>0.5*(I9+I10)*$E$4*$E$13*$E$15</f>
        <v>18747.757781249999</v>
      </c>
      <c r="L10" s="16">
        <f>J10*谷充电*谷时电价</f>
        <v>4601.3488783783778</v>
      </c>
      <c r="M10" s="16">
        <f>J10*平充电*平时电价</f>
        <v>9860.0333108108098</v>
      </c>
      <c r="N10" s="16">
        <f>每天循环次数*K10*峰时电价</f>
        <v>30652.583972343753</v>
      </c>
      <c r="O10" s="17">
        <f t="shared" si="0"/>
        <v>16191.201783154567</v>
      </c>
      <c r="P10" s="17">
        <f>O10*年运行天数</f>
        <v>5343096.5884410068</v>
      </c>
      <c r="Q10">
        <f>IF(H10&lt;运营年限+1,-1*运维费用,0)</f>
        <v>-36000</v>
      </c>
      <c r="R10">
        <f>IF(H10&lt;运营年限+1,保险费用*-1,0)</f>
        <v>-11474.999999999998</v>
      </c>
      <c r="S10" s="16">
        <f>O10*增值税*(-1)</f>
        <v>0</v>
      </c>
      <c r="T10">
        <f>IF(H10&lt;运营年限+1,-1*系统设备总价/运营年限,0)</f>
        <v>-2550000</v>
      </c>
      <c r="U10" s="17">
        <f>P10+运维费+保险费+折旧+S10</f>
        <v>2745621.5884410068</v>
      </c>
      <c r="V10" s="17"/>
      <c r="W10">
        <v>0</v>
      </c>
      <c r="X10">
        <f t="shared" si="1"/>
        <v>0</v>
      </c>
      <c r="Y10">
        <f>-1*折现率*X9</f>
        <v>0</v>
      </c>
      <c r="Z10" s="17">
        <f t="shared" si="2"/>
        <v>2745621.5884410068</v>
      </c>
      <c r="AA10" s="17">
        <f>Z10*所得税率*-1</f>
        <v>-686405.39711025171</v>
      </c>
      <c r="AB10" s="17">
        <f t="shared" si="3"/>
        <v>2059216.1913307551</v>
      </c>
      <c r="AC10">
        <f>IF(SUM($AC$5:AC9)&gt;=$AC$2,0,IF(K10*$AC$4*年运行天数*每天循环次数&gt;$AC$2,$AC$2,K10*$AC$4*年运行天数*每天循环次数))</f>
        <v>0</v>
      </c>
      <c r="AD10">
        <f t="shared" si="4"/>
        <v>0</v>
      </c>
      <c r="AE10" s="17">
        <f t="shared" si="5"/>
        <v>2059216.1913307551</v>
      </c>
      <c r="AF10" s="17">
        <f t="shared" si="6"/>
        <v>4609216.1913307551</v>
      </c>
      <c r="AG10" s="18">
        <f t="shared" si="7"/>
        <v>-12075505.886303583</v>
      </c>
      <c r="AJ10">
        <f>IF(H10&gt;运营年限,"",NPV(折现率,$AF$5:AF10)+AF9)</f>
        <v>-2032627.9548214287</v>
      </c>
      <c r="AK10" t="str">
        <f>IF(SUM($AK$5:AK9)=0,IF(AG10&lt;0,"",H10-AG10/AF11),"")</f>
        <v/>
      </c>
    </row>
    <row r="11" spans="2:37">
      <c r="C11" s="9"/>
      <c r="D11" s="10" t="s">
        <v>44</v>
      </c>
      <c r="E11" s="36">
        <v>0.9</v>
      </c>
      <c r="F11" s="12" t="s">
        <v>43</v>
      </c>
      <c r="H11">
        <v>7</v>
      </c>
      <c r="I11" s="15">
        <f>1-$E$19*$E$20*30%/循环寿命_70_EOL*H11</f>
        <v>0.79210000000000003</v>
      </c>
      <c r="J11" s="16">
        <f>0.5*(I10+I11)*$E$4*$E$13/$E$15</f>
        <v>21133.366216216215</v>
      </c>
      <c r="K11" s="16">
        <f>0.5*(I10+I11)*$E$4*$E$13*$E$15</f>
        <v>18082.236468750001</v>
      </c>
      <c r="L11" s="16">
        <f>J11*谷充电*谷时电价</f>
        <v>4438.0069054054047</v>
      </c>
      <c r="M11" s="16">
        <f>J11*平充电*平时电价</f>
        <v>9510.0147972972973</v>
      </c>
      <c r="N11" s="16">
        <f>每天循环次数*K11*峰时电价</f>
        <v>29564.456626406256</v>
      </c>
      <c r="O11" s="17">
        <f t="shared" si="0"/>
        <v>15616.434923703555</v>
      </c>
      <c r="P11" s="17">
        <f>O11*年运行天数</f>
        <v>5153423.5248221727</v>
      </c>
      <c r="Q11">
        <f>IF(H11&lt;运营年限+1,-1*运维费用,0)</f>
        <v>-36000</v>
      </c>
      <c r="R11">
        <f>IF(H11&lt;运营年限+1,保险费用*-1,0)</f>
        <v>-11474.999999999998</v>
      </c>
      <c r="S11" s="16">
        <f>O11*增值税*(-1)</f>
        <v>0</v>
      </c>
      <c r="T11">
        <f>IF(H11&lt;运营年限+1,-1*系统设备总价/运营年限,0)</f>
        <v>-2550000</v>
      </c>
      <c r="U11" s="17">
        <f>P11+运维费+保险费+折旧+S11</f>
        <v>2555948.5248221727</v>
      </c>
      <c r="V11" s="17"/>
      <c r="W11">
        <v>0</v>
      </c>
      <c r="X11">
        <f t="shared" si="1"/>
        <v>0</v>
      </c>
      <c r="Y11">
        <f>-1*折现率*X10</f>
        <v>0</v>
      </c>
      <c r="Z11" s="17">
        <f t="shared" si="2"/>
        <v>2555948.5248221727</v>
      </c>
      <c r="AA11" s="17">
        <f>Z11*所得税率*-1</f>
        <v>-638987.13120554318</v>
      </c>
      <c r="AB11" s="17">
        <f t="shared" si="3"/>
        <v>1916961.3936166295</v>
      </c>
      <c r="AC11">
        <f>IF(SUM($AC$5:AC10)&gt;=$AC$2,0,IF(K11*$AC$4*年运行天数*每天循环次数&gt;$AC$2,$AC$2,K11*$AC$4*年运行天数*每天循环次数))</f>
        <v>0</v>
      </c>
      <c r="AD11">
        <f t="shared" si="4"/>
        <v>0</v>
      </c>
      <c r="AE11" s="17">
        <f t="shared" si="5"/>
        <v>1916961.3936166295</v>
      </c>
      <c r="AF11" s="17">
        <f t="shared" si="6"/>
        <v>4466961.3936166298</v>
      </c>
      <c r="AG11" s="18">
        <f t="shared" si="7"/>
        <v>-7608544.4926869534</v>
      </c>
      <c r="AJ11">
        <f>IF(H11&gt;运营年限,"",NPV(折现率,$AF$5:AF11)+AF10)</f>
        <v>6391876.6985655297</v>
      </c>
      <c r="AK11" t="str">
        <f>IF(SUM($AK$5:AK10)=0,IF(AG11&lt;0,"",H11-AG11/AF12),"")</f>
        <v/>
      </c>
    </row>
    <row r="12" spans="2:37">
      <c r="C12" s="9"/>
      <c r="D12" s="10" t="s">
        <v>45</v>
      </c>
      <c r="E12" s="36">
        <v>0.21</v>
      </c>
      <c r="F12" s="12" t="s">
        <v>43</v>
      </c>
      <c r="H12">
        <v>8</v>
      </c>
      <c r="I12" s="19">
        <f>IF($E$23&gt;10,((1-$E$19*$E$20*30%/循环寿命_70_EOL*7.5)+(1-(1-I5)/2))/2,1-$E$19*$E$20*30%/循环寿命_70_EOL*H12)</f>
        <v>0.88119999999999998</v>
      </c>
      <c r="J12" s="16">
        <f>0.5*(I11+I12)*$E$4*$E$13/$E$15</f>
        <v>21911.185135135132</v>
      </c>
      <c r="K12" s="16">
        <f>0.5*(I11+I12)*$E$4*$E$13*$E$15</f>
        <v>18747.757781249999</v>
      </c>
      <c r="L12" s="16">
        <f>J12*谷充电*谷时电价</f>
        <v>4601.3488783783778</v>
      </c>
      <c r="M12" s="16">
        <f>J12*平充电*平时电价</f>
        <v>9860.0333108108098</v>
      </c>
      <c r="N12" s="16">
        <f>每天循环次数*K12*峰时电价</f>
        <v>30652.583972343753</v>
      </c>
      <c r="O12" s="17">
        <f t="shared" si="0"/>
        <v>16191.201783154567</v>
      </c>
      <c r="P12" s="17">
        <f>O12*年运行天数</f>
        <v>5343096.5884410068</v>
      </c>
      <c r="Q12">
        <f>IF(H12&lt;运营年限+1,-1*运维费用,0)</f>
        <v>-36000</v>
      </c>
      <c r="R12">
        <f>IF(H12&lt;运营年限+1,保险费用*-1,0)</f>
        <v>-11474.999999999998</v>
      </c>
      <c r="S12" s="16">
        <f>O12*增值税*(-1)</f>
        <v>0</v>
      </c>
      <c r="T12">
        <f>IF(H12&lt;运营年限+1,-1*系统设备总价/运营年限,0)</f>
        <v>-2550000</v>
      </c>
      <c r="U12" s="17">
        <f>P12+运维费+保险费+折旧+S12</f>
        <v>2745621.5884410068</v>
      </c>
      <c r="V12" s="17"/>
      <c r="W12">
        <v>0</v>
      </c>
      <c r="X12">
        <f t="shared" si="1"/>
        <v>0</v>
      </c>
      <c r="Y12">
        <f>-1*折现率*X11</f>
        <v>0</v>
      </c>
      <c r="Z12" s="17">
        <f t="shared" si="2"/>
        <v>2745621.5884410068</v>
      </c>
      <c r="AA12" s="17">
        <f>Z12*所得税率*-1</f>
        <v>-686405.39711025171</v>
      </c>
      <c r="AB12" s="17">
        <f t="shared" si="3"/>
        <v>2059216.1913307551</v>
      </c>
      <c r="AC12">
        <f>IF(SUM($AC$5:AC11)&gt;=$AC$2,0,IF(K12*$AC$4*年运行天数*每天循环次数&gt;$AC$2,$AC$2,K12*$AC$4*年运行天数*每天循环次数))</f>
        <v>0</v>
      </c>
      <c r="AD12">
        <f t="shared" si="4"/>
        <v>0</v>
      </c>
      <c r="AE12" s="17">
        <f t="shared" si="5"/>
        <v>2059216.1913307551</v>
      </c>
      <c r="AF12" s="17">
        <f t="shared" si="6"/>
        <v>4609216.1913307551</v>
      </c>
      <c r="AG12" s="18">
        <f t="shared" si="7"/>
        <v>-2999328.3013561983</v>
      </c>
      <c r="AJ12">
        <f>IF(H12&gt;运营年限,"",NPV(折现率,$AF$5:AF12)+AF11)</f>
        <v>9141501.1614813749</v>
      </c>
      <c r="AK12" t="str">
        <f>IF(SUM($AK$5:AK11)=0,IF(AG12&lt;0,"",H12-AG12/AF13),"")</f>
        <v/>
      </c>
    </row>
    <row r="13" spans="2:37">
      <c r="C13" s="9"/>
      <c r="D13" s="10" t="s">
        <v>46</v>
      </c>
      <c r="E13" s="20">
        <v>0.95</v>
      </c>
      <c r="F13" s="12"/>
      <c r="H13">
        <v>9</v>
      </c>
      <c r="I13" s="15">
        <f>IF($E$23&gt;10,1-$E$19*$E$20*30%/循环寿命_70_EOL*(H13-7.5),1-$E$19*$E$20*30%/循环寿命_70_EOL*H13)</f>
        <v>0.95545000000000002</v>
      </c>
      <c r="J13" s="16">
        <f>0.5*(I12+I13)*$E$4*$E$13/$E$15</f>
        <v>24050.187162162161</v>
      </c>
      <c r="K13" s="16">
        <f>0.5*(I12+I13)*$E$4*$E$13*$E$15</f>
        <v>20577.941390625001</v>
      </c>
      <c r="L13" s="16">
        <f>J13*谷充电*谷时电价</f>
        <v>5050.5393040540539</v>
      </c>
      <c r="M13" s="16">
        <f>J13*平充电*平时电价</f>
        <v>10822.584222972973</v>
      </c>
      <c r="N13" s="16">
        <f>每天循环次数*K13*峰时电价</f>
        <v>33644.934173671878</v>
      </c>
      <c r="O13" s="17">
        <f t="shared" si="0"/>
        <v>17771.810646644852</v>
      </c>
      <c r="P13" s="17">
        <f>O13*年运行天数</f>
        <v>5864697.5133928014</v>
      </c>
      <c r="Q13">
        <f>IF(H13&lt;运营年限+1,-1*运维费用,0)</f>
        <v>-36000</v>
      </c>
      <c r="R13">
        <f>IF(H13&lt;运营年限+1,保险费用*-1,0)</f>
        <v>-11474.999999999998</v>
      </c>
      <c r="S13" s="16">
        <f>O13*增值税*(-1)</f>
        <v>0</v>
      </c>
      <c r="T13">
        <f>IF(H13&lt;运营年限+1,-1*系统设备总价/运营年限,0)</f>
        <v>-2550000</v>
      </c>
      <c r="U13" s="17">
        <f>P13+运维费+保险费+折旧+S13</f>
        <v>3267222.5133928014</v>
      </c>
      <c r="V13" s="17"/>
      <c r="W13">
        <v>0</v>
      </c>
      <c r="X13">
        <f t="shared" si="1"/>
        <v>0</v>
      </c>
      <c r="Y13">
        <f>-1*折现率*X12</f>
        <v>0</v>
      </c>
      <c r="Z13" s="17">
        <f t="shared" si="2"/>
        <v>3267222.5133928014</v>
      </c>
      <c r="AA13" s="17">
        <f>Z13*所得税率*-1</f>
        <v>-816805.62834820035</v>
      </c>
      <c r="AB13" s="17">
        <f t="shared" si="3"/>
        <v>2450416.8850446008</v>
      </c>
      <c r="AC13">
        <f>IF(SUM($AC$5:AC12)&gt;=$AC$2,0,IF(K13*$AC$4*年运行天数*每天循环次数&gt;$AC$2,$AC$2,K13*$AC$4*年运行天数*每天循环次数))</f>
        <v>0</v>
      </c>
      <c r="AD13">
        <f t="shared" si="4"/>
        <v>0</v>
      </c>
      <c r="AE13" s="17">
        <f t="shared" si="5"/>
        <v>2450416.8850446008</v>
      </c>
      <c r="AF13" s="17">
        <f t="shared" si="6"/>
        <v>5000416.8850446008</v>
      </c>
      <c r="AG13" s="18">
        <f t="shared" si="7"/>
        <v>2001088.5836884025</v>
      </c>
      <c r="AJ13">
        <f>IF(H13&gt;运营年限,"",NPV(折现率,$AF$5:AF13)+AF12)</f>
        <v>12243495.030462991</v>
      </c>
      <c r="AK13">
        <f>IF(SUM($AK$5:AK12)=0,IF(AG13&lt;0,"",H13-AG13/AF14),"")</f>
        <v>8.6081757835902373</v>
      </c>
    </row>
    <row r="14" spans="2:37">
      <c r="C14" s="9"/>
      <c r="D14" s="10" t="s">
        <v>47</v>
      </c>
      <c r="E14" s="20">
        <v>0.85</v>
      </c>
      <c r="F14" s="12"/>
      <c r="H14">
        <v>10</v>
      </c>
      <c r="I14" s="15">
        <f>IF($E$23&gt;10,1-$E$19*$E$20*30%/循环寿命_70_EOL*(H14-7.5),1-$E$19*$E$20*30%/循环寿命_70_EOL*H14)</f>
        <v>0.92574999999999996</v>
      </c>
      <c r="J14" s="16">
        <f>0.5*(I13+I14)*$E$4*$E$13/$E$15</f>
        <v>24633.551351351351</v>
      </c>
      <c r="K14" s="16">
        <f>0.5*(I13+I14)*$E$4*$E$13*$E$15</f>
        <v>21077.082375000002</v>
      </c>
      <c r="L14" s="16">
        <f>J14*谷充电*谷时电价</f>
        <v>5173.045783783783</v>
      </c>
      <c r="M14" s="16">
        <f>J14*平充电*平时电价</f>
        <v>11085.098108108108</v>
      </c>
      <c r="N14" s="16">
        <f>每天循环次数*K14*峰时电价</f>
        <v>34461.029683125009</v>
      </c>
      <c r="O14" s="17">
        <f t="shared" si="0"/>
        <v>18202.885791233119</v>
      </c>
      <c r="P14" s="17">
        <f>O14*年运行天数</f>
        <v>6006952.3111069296</v>
      </c>
      <c r="Q14">
        <f>IF(H14&lt;运营年限+1,-1*运维费用,0)</f>
        <v>-36000</v>
      </c>
      <c r="R14">
        <f>IF(H14&lt;运营年限+1,保险费用*-1,0)</f>
        <v>-11474.999999999998</v>
      </c>
      <c r="S14" s="16">
        <f>O14*增值税*(-1)</f>
        <v>0</v>
      </c>
      <c r="T14">
        <f>IF(H14&lt;运营年限+1,-1*系统设备总价/运营年限,0)</f>
        <v>-2550000</v>
      </c>
      <c r="U14" s="17">
        <f>P14+运维费+保险费+折旧+S14</f>
        <v>3409477.3111069296</v>
      </c>
      <c r="V14" s="17"/>
      <c r="W14">
        <v>0</v>
      </c>
      <c r="X14">
        <f t="shared" si="1"/>
        <v>0</v>
      </c>
      <c r="Y14">
        <f>-1*折现率*X13</f>
        <v>0</v>
      </c>
      <c r="Z14" s="17">
        <f t="shared" si="2"/>
        <v>3409477.3111069296</v>
      </c>
      <c r="AA14" s="17">
        <f>Z14*所得税率*-1</f>
        <v>-852369.32777673239</v>
      </c>
      <c r="AB14" s="17">
        <f t="shared" si="3"/>
        <v>2557107.9833301972</v>
      </c>
      <c r="AC14">
        <f>IF(SUM($AC$5:AC13)&gt;=$AC$2,0,IF(K14*$AC$4*年运行天数*每天循环次数&gt;$AC$2,$AC$2,K14*$AC$4*年运行天数*每天循环次数))</f>
        <v>0</v>
      </c>
      <c r="AD14">
        <f t="shared" si="4"/>
        <v>0</v>
      </c>
      <c r="AE14" s="17">
        <f t="shared" si="5"/>
        <v>2557107.9833301972</v>
      </c>
      <c r="AF14" s="17">
        <f t="shared" si="6"/>
        <v>5107107.9833301976</v>
      </c>
      <c r="AG14" s="18">
        <f t="shared" si="7"/>
        <v>7108196.5670186002</v>
      </c>
      <c r="AJ14">
        <f>IF(H14&gt;运营年限,"",NPV(折现率,$AF$5:AF14)+AF13)</f>
        <v>15486478.147209922</v>
      </c>
      <c r="AK14" t="str">
        <f>IF(SUM($AK$5:AK13)=0,IF(AG14&lt;0,"",H14-AG14/AF15),"")</f>
        <v/>
      </c>
    </row>
    <row r="15" spans="2:37">
      <c r="C15" s="9"/>
      <c r="D15" s="10" t="s">
        <v>48</v>
      </c>
      <c r="E15" s="21">
        <f>1-(1-$E$14)/2</f>
        <v>0.92500000000000004</v>
      </c>
      <c r="F15" s="12"/>
      <c r="H15">
        <v>11</v>
      </c>
      <c r="I15" s="15">
        <f>IF($E$23&gt;10,IF($E$23&gt;10,1-$E$19*$E$20*30%/循环寿命_70_EOL*(H15-7.5),1-$E$19*$E$20*30%/循环寿命_70_EOL*H15),"NA")</f>
        <v>0.89605000000000001</v>
      </c>
      <c r="J15" s="16">
        <f>0.5*(I14+I15)*$E$4*$E$13/$E$15</f>
        <v>23855.732432432429</v>
      </c>
      <c r="K15" s="16">
        <f>0.5*(I14+I15)*$E$4*$E$13*$E$15</f>
        <v>20411.561062500001</v>
      </c>
      <c r="L15" s="16">
        <f>J15*谷充电*谷时电价</f>
        <v>5009.70381081081</v>
      </c>
      <c r="M15" s="16">
        <f>J15*平充电*平时电价</f>
        <v>10735.079594594594</v>
      </c>
      <c r="N15" s="16">
        <f>每天循环次数*K15*峰时电价</f>
        <v>33372.902337187508</v>
      </c>
      <c r="O15" s="17">
        <f t="shared" si="0"/>
        <v>17628.118931782104</v>
      </c>
      <c r="P15" s="17">
        <f>O15*年运行天数</f>
        <v>5817279.2474880945</v>
      </c>
      <c r="Q15">
        <f>IF(H15&lt;运营年限+1,-1*运维费用,0)</f>
        <v>-36000</v>
      </c>
      <c r="R15">
        <f>IF(H15&lt;运营年限+1,保险费用*-1,0)</f>
        <v>-11474.999999999998</v>
      </c>
      <c r="S15" s="16">
        <f>O15*增值税*(-1)</f>
        <v>0</v>
      </c>
      <c r="T15">
        <f>IF(H15&lt;运营年限+1,-1*系统设备总价/运营年限,0)</f>
        <v>-2550000</v>
      </c>
      <c r="U15" s="17">
        <f>P15+运维费+保险费+折旧+S15</f>
        <v>3219804.2474880945</v>
      </c>
      <c r="V15" s="17"/>
      <c r="W15">
        <v>0</v>
      </c>
      <c r="X15">
        <f t="shared" si="1"/>
        <v>0</v>
      </c>
      <c r="Y15">
        <f>-1*折现率*X14</f>
        <v>0</v>
      </c>
      <c r="Z15" s="17">
        <f t="shared" si="2"/>
        <v>3219804.2474880945</v>
      </c>
      <c r="AA15" s="17">
        <f>Z15*所得税率*-1</f>
        <v>-804951.06187202362</v>
      </c>
      <c r="AB15" s="17">
        <f t="shared" si="3"/>
        <v>2414853.1856160709</v>
      </c>
      <c r="AC15">
        <f>IF(SUM($AC$5:AC14)&gt;=$AC$2,0,IF(K15*$AC$4*年运行天数*每天循环次数&gt;$AC$2,$AC$2,K15*$AC$4*年运行天数*每天循环次数))</f>
        <v>0</v>
      </c>
      <c r="AD15">
        <f t="shared" si="4"/>
        <v>0</v>
      </c>
      <c r="AE15" s="17">
        <f t="shared" si="5"/>
        <v>2414853.1856160709</v>
      </c>
      <c r="AF15" s="17">
        <f t="shared" si="6"/>
        <v>4964853.1856160704</v>
      </c>
      <c r="AG15" s="18">
        <f t="shared" si="7"/>
        <v>12073049.752634671</v>
      </c>
      <c r="AJ15">
        <f>IF(H15&gt;运营年限,"",NPV(折现率,$AF$5:AF15)+AF14)</f>
        <v>18208591.969078913</v>
      </c>
      <c r="AK15" t="str">
        <f>IF(SUM($AK$5:AK14)=0,IF(AG15&lt;0,"",H15-AG15/AF16),"")</f>
        <v/>
      </c>
    </row>
    <row r="16" spans="2:37">
      <c r="C16" s="9"/>
      <c r="D16" s="10" t="s">
        <v>49</v>
      </c>
      <c r="E16" s="21">
        <f>1-(1-$E$14)/2</f>
        <v>0.92500000000000004</v>
      </c>
      <c r="F16" s="12"/>
      <c r="H16">
        <v>12</v>
      </c>
      <c r="I16" s="15">
        <f>IF($E$23&gt;10,IF($E$23&gt;10,1-$E$19*$E$20*30%/循环寿命_70_EOL*(H16-7.5),1-$E$19*$E$20*30%/循环寿命_70_EOL*H16),"NA")</f>
        <v>0.86634999999999995</v>
      </c>
      <c r="J16" s="16">
        <f>0.5*(I15+I16)*$E$4*$E$13/$E$15</f>
        <v>23077.913513513507</v>
      </c>
      <c r="K16" s="16">
        <f>0.5*(I15+I16)*$E$4*$E$13*$E$15</f>
        <v>19746.039749999996</v>
      </c>
      <c r="L16" s="16">
        <f>J16*谷充电*谷时电价</f>
        <v>4846.361837837836</v>
      </c>
      <c r="M16" s="16">
        <f>J16*平充电*平时电价</f>
        <v>10385.061081081079</v>
      </c>
      <c r="N16" s="16">
        <f>每天循环次数*K16*峰时电价</f>
        <v>32284.774991249997</v>
      </c>
      <c r="O16" s="17">
        <f t="shared" si="0"/>
        <v>17053.352072331083</v>
      </c>
      <c r="P16" s="17">
        <f>O16*年运行天数</f>
        <v>5627606.1838692576</v>
      </c>
      <c r="Q16">
        <f>IF(H16&lt;运营年限+1,-1*运维费用,0)</f>
        <v>-36000</v>
      </c>
      <c r="R16">
        <f>IF(H16&lt;运营年限+1,保险费用*-1,0)</f>
        <v>-11474.999999999998</v>
      </c>
      <c r="S16" s="16">
        <f>O16*增值税*(-1)</f>
        <v>0</v>
      </c>
      <c r="T16">
        <f>IF(H16&lt;运营年限+1,-1*系统设备总价/运营年限,0)</f>
        <v>-2550000</v>
      </c>
      <c r="U16" s="17">
        <f>P16+运维费+保险费+折旧+S16</f>
        <v>3030131.1838692576</v>
      </c>
      <c r="V16" s="17"/>
      <c r="W16">
        <v>0</v>
      </c>
      <c r="X16">
        <f t="shared" si="1"/>
        <v>0</v>
      </c>
      <c r="Y16">
        <f>-1*折现率*X15</f>
        <v>0</v>
      </c>
      <c r="Z16" s="17">
        <f t="shared" si="2"/>
        <v>3030131.1838692576</v>
      </c>
      <c r="AA16" s="17">
        <f>Z16*所得税率*-1</f>
        <v>-757532.79596731439</v>
      </c>
      <c r="AB16" s="17">
        <f t="shared" si="3"/>
        <v>2272598.3879019432</v>
      </c>
      <c r="AC16">
        <f>IF(SUM($AC$5:AC15)&gt;=$AC$2,0,IF(K16*$AC$4*年运行天数*每天循环次数&gt;$AC$2,$AC$2,K16*$AC$4*年运行天数*每天循环次数))</f>
        <v>0</v>
      </c>
      <c r="AD16">
        <f t="shared" si="4"/>
        <v>0</v>
      </c>
      <c r="AE16" s="17">
        <f t="shared" si="5"/>
        <v>2272598.3879019432</v>
      </c>
      <c r="AF16" s="17">
        <f t="shared" si="6"/>
        <v>4822598.3879019432</v>
      </c>
      <c r="AG16" s="18">
        <f t="shared" si="7"/>
        <v>16895648.140536614</v>
      </c>
      <c r="AJ16">
        <f>IF(H16&gt;运营年限,"",NPV(折现率,$AF$5:AF16)+AF15)</f>
        <v>20463020.822987884</v>
      </c>
      <c r="AK16" t="str">
        <f>IF(SUM($AK$5:AK15)=0,IF(AG16&lt;0,"",H16-AG16/AF17),"")</f>
        <v/>
      </c>
    </row>
    <row r="17" spans="3:37">
      <c r="C17" s="9"/>
      <c r="D17" s="10" t="s">
        <v>50</v>
      </c>
      <c r="E17" s="20">
        <v>0.3</v>
      </c>
      <c r="F17" s="12"/>
      <c r="H17">
        <v>13</v>
      </c>
      <c r="I17" s="15">
        <f>IF($E$23&gt;10,IF($E$23&gt;10,1-$E$19*$E$20*30%/循环寿命_70_EOL*(H17-7.5),1-$E$19*$E$20*30%/循环寿命_70_EOL*H17),"NA")</f>
        <v>0.83665</v>
      </c>
      <c r="J17" s="16">
        <f>0.5*(I16+I17)*$E$4*$E$13/$E$15</f>
        <v>22300.094594594586</v>
      </c>
      <c r="K17" s="16">
        <f>0.5*(I16+I17)*$E$4*$E$13*$E$15</f>
        <v>19080.518437499995</v>
      </c>
      <c r="L17" s="16">
        <f>J17*谷充电*谷时电价</f>
        <v>4683.0198648648629</v>
      </c>
      <c r="M17" s="16">
        <f>J17*平充电*平时电价</f>
        <v>10035.042567567563</v>
      </c>
      <c r="N17" s="16">
        <f>每天循环次数*K17*峰时电价</f>
        <v>31196.647645312496</v>
      </c>
      <c r="O17" s="17">
        <f t="shared" si="0"/>
        <v>16478.585212880069</v>
      </c>
      <c r="P17" s="17">
        <f>O17*年运行天数</f>
        <v>5437933.1202504225</v>
      </c>
      <c r="Q17">
        <f>IF(H17&lt;运营年限+1,-1*运维费用,0)</f>
        <v>-36000</v>
      </c>
      <c r="R17">
        <f>IF(H17&lt;运营年限+1,保险费用*-1,0)</f>
        <v>-11474.999999999998</v>
      </c>
      <c r="S17" s="16">
        <f>O17*增值税*(-1)</f>
        <v>0</v>
      </c>
      <c r="T17">
        <f>IF(H17&lt;运营年限+1,-1*系统设备总价/运营年限,0)</f>
        <v>-2550000</v>
      </c>
      <c r="U17" s="17">
        <f>P17+运维费+保险费+折旧+S17</f>
        <v>2840458.1202504225</v>
      </c>
      <c r="V17" s="17"/>
      <c r="W17">
        <v>0</v>
      </c>
      <c r="X17">
        <f t="shared" si="1"/>
        <v>0</v>
      </c>
      <c r="Y17">
        <f>-1*折现率*X16</f>
        <v>0</v>
      </c>
      <c r="Z17" s="17">
        <f t="shared" si="2"/>
        <v>2840458.1202504225</v>
      </c>
      <c r="AA17" s="17">
        <f>Z17*所得税率*-1</f>
        <v>-710114.53006260563</v>
      </c>
      <c r="AB17" s="17">
        <f t="shared" si="3"/>
        <v>2130343.5901878169</v>
      </c>
      <c r="AC17">
        <f>IF(SUM($AC$5:AC16)&gt;=$AC$2,0,IF(K17*$AC$4*年运行天数*每天循环次数&gt;$AC$2,$AC$2,K17*$AC$4*年运行天数*每天循环次数))</f>
        <v>0</v>
      </c>
      <c r="AD17">
        <f t="shared" si="4"/>
        <v>0</v>
      </c>
      <c r="AE17" s="17">
        <f t="shared" si="5"/>
        <v>2130343.5901878169</v>
      </c>
      <c r="AF17" s="17">
        <f t="shared" si="6"/>
        <v>4680343.5901878169</v>
      </c>
      <c r="AG17" s="18">
        <f t="shared" si="7"/>
        <v>21575991.730724432</v>
      </c>
      <c r="AJ17">
        <f>IF(H17&gt;运营年限,"",NPV(折现率,$AF$5:AF17)+AF16)</f>
        <v>22515093.737856146</v>
      </c>
      <c r="AK17" t="str">
        <f>IF(SUM($AK$5:AK16)=0,IF(AG17&lt;0,"",H17-AG17/AF18),"")</f>
        <v/>
      </c>
    </row>
    <row r="18" spans="3:37">
      <c r="C18" s="9"/>
      <c r="D18" s="10" t="s">
        <v>51</v>
      </c>
      <c r="E18" s="20">
        <v>0.06</v>
      </c>
      <c r="F18" s="12"/>
      <c r="H18">
        <v>14</v>
      </c>
      <c r="I18" s="15">
        <f>IF($E$23&gt;10,IF($E$23&gt;10,1-$E$19*$E$20*30%/循环寿命_70_EOL*(H18-7.5),1-$E$19*$E$20*30%/循环寿命_70_EOL*H18),"NA")</f>
        <v>0.80695000000000006</v>
      </c>
      <c r="J18" s="16">
        <f>0.5*(I17+I18)*$E$4*$E$13/$E$15</f>
        <v>21522.275675675675</v>
      </c>
      <c r="K18" s="16">
        <f>0.5*(I17+I18)*$E$4*$E$13*$E$15</f>
        <v>18414.997125000002</v>
      </c>
      <c r="L18" s="16">
        <f>J18*谷充电*谷时电价</f>
        <v>4519.6778918918917</v>
      </c>
      <c r="M18" s="16">
        <f>J18*平充电*平时电价</f>
        <v>9685.0240540540544</v>
      </c>
      <c r="N18" s="16">
        <f>每天循环次数*K18*峰时电价</f>
        <v>30108.520299375006</v>
      </c>
      <c r="O18" s="17">
        <f t="shared" si="0"/>
        <v>15903.818353429058</v>
      </c>
      <c r="P18" s="17">
        <f>O18*年运行天数</f>
        <v>5248260.0566315893</v>
      </c>
      <c r="Q18">
        <f>IF(H18&lt;运营年限+1,-1*运维费用,0)</f>
        <v>-36000</v>
      </c>
      <c r="R18">
        <f>IF(H18&lt;运营年限+1,保险费用*-1,0)</f>
        <v>-11474.999999999998</v>
      </c>
      <c r="S18" s="16">
        <f>O18*增值税*(-1)</f>
        <v>0</v>
      </c>
      <c r="T18">
        <f>IF(H18&lt;运营年限+1,-1*系统设备总价/运营年限,0)</f>
        <v>-2550000</v>
      </c>
      <c r="U18" s="17">
        <f>P18+运维费+保险费+折旧+S18</f>
        <v>2650785.0566315893</v>
      </c>
      <c r="V18" s="17"/>
      <c r="W18">
        <v>0</v>
      </c>
      <c r="X18">
        <f t="shared" si="1"/>
        <v>0</v>
      </c>
      <c r="Y18">
        <f>-1*折现率*X17</f>
        <v>0</v>
      </c>
      <c r="Z18" s="17">
        <f t="shared" si="2"/>
        <v>2650785.0566315893</v>
      </c>
      <c r="AA18" s="17">
        <f>Z18*所得税率*-1</f>
        <v>-662696.26415789733</v>
      </c>
      <c r="AB18" s="17">
        <f t="shared" si="3"/>
        <v>1988088.792473692</v>
      </c>
      <c r="AC18">
        <f>IF(SUM($AC$5:AC17)&gt;=$AC$2,0,IF(K18*$AC$4*年运行天数*每天循环次数&gt;$AC$2,$AC$2,K18*$AC$4*年运行天数*每天循环次数))</f>
        <v>0</v>
      </c>
      <c r="AD18">
        <f t="shared" si="4"/>
        <v>0</v>
      </c>
      <c r="AE18" s="17">
        <f t="shared" si="5"/>
        <v>1988088.792473692</v>
      </c>
      <c r="AF18" s="17">
        <f t="shared" si="6"/>
        <v>4538088.7924736924</v>
      </c>
      <c r="AG18" s="18">
        <f t="shared" si="7"/>
        <v>26114080.523198124</v>
      </c>
      <c r="AJ18">
        <f>IF(H18&gt;运营年限,"",NPV(折现率,$AF$5:AF18)+AF17)</f>
        <v>24380039.989493717</v>
      </c>
      <c r="AK18" t="str">
        <f>IF(SUM($AK$5:AK17)=0,IF(AG18&lt;0,"",H18-AG18/AF19),"")</f>
        <v/>
      </c>
    </row>
    <row r="19" spans="3:37">
      <c r="C19" s="9"/>
      <c r="D19" s="10" t="s">
        <v>52</v>
      </c>
      <c r="E19" s="36">
        <v>330</v>
      </c>
      <c r="F19" s="12" t="s">
        <v>53</v>
      </c>
      <c r="H19">
        <v>15</v>
      </c>
      <c r="I19" s="15">
        <f>IF($E$23&gt;10,IF($E$23&gt;10,1-$E$19*$E$20*30%/循环寿命_70_EOL*(H19-7.5),1-$E$19*$E$20*30%/循环寿命_70_EOL*H19),"NA")</f>
        <v>0.77725</v>
      </c>
      <c r="J19" s="16">
        <f>0.5*(I18+I19)*$E$4*$E$13/$E$15</f>
        <v>20744.456756756754</v>
      </c>
      <c r="K19" s="16">
        <f>0.5*(I18+I19)*$E$4*$E$13*$E$15</f>
        <v>17749.475812499997</v>
      </c>
      <c r="L19" s="16">
        <f>J19*谷充电*谷时电价</f>
        <v>4356.3359189189177</v>
      </c>
      <c r="M19" s="16">
        <f>J19*平充电*平时电价</f>
        <v>9335.0055405405401</v>
      </c>
      <c r="N19" s="16">
        <f>每天循环次数*K19*峰时电价</f>
        <v>29020.392953437498</v>
      </c>
      <c r="O19" s="17">
        <f t="shared" si="0"/>
        <v>15329.051493978041</v>
      </c>
      <c r="P19" s="17">
        <f>O19*年运行天数</f>
        <v>5058586.9930127533</v>
      </c>
      <c r="Q19">
        <f>IF(H19&lt;运营年限+1,-1*运维费用,0)</f>
        <v>-36000</v>
      </c>
      <c r="R19">
        <f>IF(H19&lt;运营年限+1,保险费用*-1,0)</f>
        <v>-11474.999999999998</v>
      </c>
      <c r="S19" s="16">
        <f>O19*增值税*(-1)</f>
        <v>0</v>
      </c>
      <c r="T19">
        <f>IF(H19&lt;运营年限+1,-1*系统设备总价/运营年限,0)</f>
        <v>-2550000</v>
      </c>
      <c r="U19" s="17">
        <f>P19+运维费+保险费+折旧+S19</f>
        <v>2461111.9930127533</v>
      </c>
      <c r="V19" s="17"/>
      <c r="W19">
        <v>0</v>
      </c>
      <c r="X19">
        <f t="shared" si="1"/>
        <v>0</v>
      </c>
      <c r="Y19">
        <f>-1*折现率*X18</f>
        <v>0</v>
      </c>
      <c r="Z19" s="17">
        <f t="shared" si="2"/>
        <v>2461111.9930127533</v>
      </c>
      <c r="AA19" s="17">
        <f>Z19*所得税率*-1</f>
        <v>-615277.99825318833</v>
      </c>
      <c r="AB19" s="17">
        <f t="shared" si="3"/>
        <v>1845833.994759565</v>
      </c>
      <c r="AC19">
        <f>IF(SUM($AC$5:AC18)&gt;=$AC$2,0,IF(K19*$AC$4*年运行天数*每天循环次数&gt;$AC$2,$AC$2,K19*$AC$4*年运行天数*每天循环次数))</f>
        <v>0</v>
      </c>
      <c r="AD19">
        <f t="shared" si="4"/>
        <v>0</v>
      </c>
      <c r="AE19" s="17">
        <f t="shared" si="5"/>
        <v>1845833.994759565</v>
      </c>
      <c r="AF19" s="17">
        <f t="shared" si="6"/>
        <v>4395833.9947595652</v>
      </c>
      <c r="AG19" s="18">
        <f t="shared" si="7"/>
        <v>30509914.517957687</v>
      </c>
      <c r="AJ19">
        <f>IF(H19&gt;运营年限,"",NPV(折现率,$AF$5:AF19)+AF18)</f>
        <v>26072013.130586296</v>
      </c>
      <c r="AK19" t="str">
        <f>IF(SUM($AK$5:AK18)=0,IF(AG19&lt;0,"",H19-AG19/AF20),"")</f>
        <v/>
      </c>
    </row>
    <row r="20" spans="3:37" ht="14.25" customHeight="1">
      <c r="C20" s="9"/>
      <c r="D20" s="10" t="s">
        <v>54</v>
      </c>
      <c r="E20" s="36">
        <f>谷充电+平充电</f>
        <v>1.5</v>
      </c>
      <c r="F20" s="12" t="s">
        <v>55</v>
      </c>
    </row>
    <row r="21" spans="3:37">
      <c r="C21" s="9"/>
      <c r="D21" s="10" t="s">
        <v>56</v>
      </c>
      <c r="E21" s="11">
        <v>1</v>
      </c>
      <c r="F21" s="12" t="s">
        <v>55</v>
      </c>
    </row>
    <row r="22" spans="3:37">
      <c r="C22" s="9"/>
      <c r="D22" s="10" t="s">
        <v>57</v>
      </c>
      <c r="E22" s="11">
        <v>0.5</v>
      </c>
      <c r="F22" s="12" t="s">
        <v>55</v>
      </c>
    </row>
    <row r="23" spans="3:37">
      <c r="C23" s="9"/>
      <c r="D23" s="10" t="s">
        <v>58</v>
      </c>
      <c r="E23" s="36">
        <v>15</v>
      </c>
      <c r="F23" s="12" t="s">
        <v>59</v>
      </c>
    </row>
    <row r="24" spans="3:37">
      <c r="C24" s="9"/>
      <c r="D24" s="22" t="s">
        <v>60</v>
      </c>
      <c r="E24" s="11">
        <v>5000</v>
      </c>
      <c r="F24" s="12" t="s">
        <v>55</v>
      </c>
    </row>
    <row r="25" spans="3:37">
      <c r="C25" s="9"/>
      <c r="D25" s="10" t="s">
        <v>61</v>
      </c>
      <c r="E25" s="11" t="str">
        <f>IF(E23&gt;10,IF(E23*E20*E19&gt;5000,"是"),"否")</f>
        <v>是</v>
      </c>
      <c r="F25" s="12"/>
    </row>
    <row r="26" spans="3:37">
      <c r="C26" s="9"/>
      <c r="D26" s="10" t="s">
        <v>62</v>
      </c>
      <c r="E26" s="11">
        <v>600</v>
      </c>
      <c r="F26" s="12" t="s">
        <v>63</v>
      </c>
    </row>
    <row r="27" spans="3:37" ht="14.25" thickBot="1">
      <c r="C27" s="23"/>
      <c r="D27" s="24" t="s">
        <v>64</v>
      </c>
      <c r="E27" s="25">
        <f>IF(E25="是",E26*E4,0)</f>
        <v>15300000</v>
      </c>
      <c r="F27" s="26" t="s">
        <v>65</v>
      </c>
    </row>
    <row r="28" spans="3:37" ht="14.25" thickBot="1"/>
    <row r="29" spans="3:37">
      <c r="C29" s="38" t="s">
        <v>66</v>
      </c>
      <c r="D29" s="4" t="s">
        <v>67</v>
      </c>
      <c r="E29" s="27">
        <f>自有资金比例*系统设备总价</f>
        <v>11475000</v>
      </c>
      <c r="F29" s="28" t="s">
        <v>65</v>
      </c>
    </row>
    <row r="30" spans="3:37">
      <c r="C30" s="9"/>
      <c r="D30" s="10" t="s">
        <v>68</v>
      </c>
      <c r="E30" s="29">
        <f>(1-自有资金比例)*系统设备总价</f>
        <v>26775000</v>
      </c>
      <c r="F30" s="30" t="s">
        <v>65</v>
      </c>
    </row>
    <row r="31" spans="3:37">
      <c r="C31" s="9"/>
      <c r="D31" s="10" t="s">
        <v>69</v>
      </c>
      <c r="E31" s="31" t="str">
        <f>IF(运营年限=10,AH4,"\")</f>
        <v>\</v>
      </c>
      <c r="F31" s="30"/>
    </row>
    <row r="32" spans="3:37">
      <c r="C32" s="9"/>
      <c r="D32" s="10" t="s">
        <v>70</v>
      </c>
      <c r="E32" s="31">
        <f>IF(运营年限=15,AI4,"\")</f>
        <v>0.11854766051011767</v>
      </c>
      <c r="F32" s="30"/>
    </row>
    <row r="33" spans="3:6">
      <c r="C33" s="9"/>
      <c r="D33" s="10" t="s">
        <v>71</v>
      </c>
      <c r="E33" s="32">
        <f>SUM(AK5:AK19)</f>
        <v>8.6081757835902373</v>
      </c>
      <c r="F33" s="30" t="s">
        <v>59</v>
      </c>
    </row>
    <row r="34" spans="3:6">
      <c r="C34" s="9"/>
      <c r="D34" s="10" t="s">
        <v>72</v>
      </c>
      <c r="E34" s="32" t="str">
        <f>IF(运营年限=10,AJ14,"\")</f>
        <v>\</v>
      </c>
      <c r="F34" s="30" t="s">
        <v>65</v>
      </c>
    </row>
    <row r="35" spans="3:6" ht="14.25" thickBot="1">
      <c r="C35" s="23"/>
      <c r="D35" s="24" t="s">
        <v>73</v>
      </c>
      <c r="E35" s="33">
        <f>IF(运营年限=15,AJ19,"\")</f>
        <v>26072013.130586296</v>
      </c>
      <c r="F35" s="34" t="s">
        <v>65</v>
      </c>
    </row>
    <row r="36" spans="3:6" ht="14.25" hidden="1" thickBot="1">
      <c r="C36" s="23"/>
      <c r="D36" s="24" t="s">
        <v>74</v>
      </c>
      <c r="E36" s="35">
        <f>(系统设备总价+施工费用+SUM(Q5:Q19)+SUM(R5:R20))/(SUM(I5:I19)*额定容量*充放电深度*系统综合效率)/年运行天数/每天循环次数</f>
        <v>0.28464637709612256</v>
      </c>
      <c r="F36" s="34" t="s">
        <v>75</v>
      </c>
    </row>
  </sheetData>
  <mergeCells count="1">
    <mergeCell ref="W2:Y2"/>
  </mergeCells>
  <phoneticPr fontId="2" type="noConversion"/>
  <hyperlinks>
    <hyperlink ref="D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28</vt:i4>
      </vt:variant>
    </vt:vector>
  </HeadingPairs>
  <TitlesOfParts>
    <vt:vector size="29" baseType="lpstr">
      <vt:lpstr>最终版—用户侧</vt:lpstr>
      <vt:lpstr>保险费</vt:lpstr>
      <vt:lpstr>保险费用</vt:lpstr>
      <vt:lpstr>充电效率</vt:lpstr>
      <vt:lpstr>充放电深度</vt:lpstr>
      <vt:lpstr>电费差收入</vt:lpstr>
      <vt:lpstr>额定功率</vt:lpstr>
      <vt:lpstr>额定容量</vt:lpstr>
      <vt:lpstr>放电效率</vt:lpstr>
      <vt:lpstr>峰时电价</vt:lpstr>
      <vt:lpstr>更换电池总成本_假设</vt:lpstr>
      <vt:lpstr>谷充电</vt:lpstr>
      <vt:lpstr>谷时电价</vt:lpstr>
      <vt:lpstr>每天循环次数</vt:lpstr>
      <vt:lpstr>年运行天数</vt:lpstr>
      <vt:lpstr>平充电</vt:lpstr>
      <vt:lpstr>平时电价</vt:lpstr>
      <vt:lpstr>施工费用</vt:lpstr>
      <vt:lpstr>所得税率</vt:lpstr>
      <vt:lpstr>系统设备总价</vt:lpstr>
      <vt:lpstr>系统综合效率</vt:lpstr>
      <vt:lpstr>循环寿命_70_EOL</vt:lpstr>
      <vt:lpstr>运维费</vt:lpstr>
      <vt:lpstr>运维费用</vt:lpstr>
      <vt:lpstr>运营年限</vt:lpstr>
      <vt:lpstr>增值税</vt:lpstr>
      <vt:lpstr>折旧</vt:lpstr>
      <vt:lpstr>折现率</vt:lpstr>
      <vt:lpstr>自有资金比例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陈瑞</dc:creator>
  <cp:lastModifiedBy>陈瑞</cp:lastModifiedBy>
  <dcterms:created xsi:type="dcterms:W3CDTF">2021-01-14T08:08:20Z</dcterms:created>
  <dcterms:modified xsi:type="dcterms:W3CDTF">2021-01-14T08:12:25Z</dcterms:modified>
</cp:coreProperties>
</file>