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G:\副业资料\百度文库\储能系统培训\"/>
    </mc:Choice>
  </mc:AlternateContent>
  <xr:revisionPtr revIDLastSave="0" documentId="13_ncr:1_{3696392C-9F8F-4E43-8DB6-6F5A665DE37D}" xr6:coauthVersionLast="47" xr6:coauthVersionMax="47" xr10:uidLastSave="{00000000-0000-0000-0000-000000000000}"/>
  <bookViews>
    <workbookView xWindow="-108" yWindow="-108" windowWidth="23256" windowHeight="13176" tabRatio="876" xr2:uid="{00000000-000D-0000-FFFF-FFFF00000000}"/>
  </bookViews>
  <sheets>
    <sheet name="储能技术参数" sheetId="4" r:id="rId1"/>
    <sheet name="变量" sheetId="18" r:id="rId2"/>
    <sheet name="投资估算" sheetId="3" r:id="rId3"/>
    <sheet name="盈利模式" sheetId="5" r:id="rId4"/>
    <sheet name="资产负债表" sheetId="13" r:id="rId5"/>
    <sheet name="利润及利润分配表" sheetId="12" r:id="rId6"/>
    <sheet name="现金流量表" sheetId="15" r:id="rId7"/>
    <sheet name="流动资产" sheetId="14" r:id="rId8"/>
    <sheet name="借款" sheetId="16" r:id="rId9"/>
  </sheets>
  <externalReferences>
    <externalReference r:id="rId10"/>
    <externalReference r:id="rId11"/>
  </externalReferences>
  <definedNames>
    <definedName name="_xlnm.Print_Area" localSheetId="0">储能技术参数!$A$1:$H$12</definedName>
    <definedName name="_xlnm.Print_Area" localSheetId="5">利润及利润分配表!$B$1:$R$56</definedName>
    <definedName name="_xlnm.Print_Area" localSheetId="7">流动资产!$A$1:$O$17</definedName>
    <definedName name="_xlnm.Print_Area" localSheetId="2">投资估算!$A$2:$H$61</definedName>
    <definedName name="_xlnm.Print_Area" localSheetId="6">现金流量表!$A$1:$P$21</definedName>
    <definedName name="_xlnm.Print_Area" localSheetId="3">盈利模式!$B$1:$E$60</definedName>
    <definedName name="_xlnm.Print_Area" localSheetId="4">资产负债表!$B$1:$Q$54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G3" i="4"/>
  <c r="G6" i="4" s="1"/>
  <c r="G7" i="4" s="1"/>
  <c r="C7" i="4" s="1"/>
  <c r="G4" i="4" l="1"/>
  <c r="D2" i="14" l="1"/>
  <c r="D13" i="15"/>
  <c r="E3" i="15" s="1"/>
  <c r="F10" i="15"/>
  <c r="S9" i="15"/>
  <c r="R9" i="15"/>
  <c r="Q9" i="15"/>
  <c r="P9" i="15"/>
  <c r="O9" i="15"/>
  <c r="N9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F56" i="12"/>
  <c r="E56" i="12"/>
  <c r="F55" i="12"/>
  <c r="E55" i="12"/>
  <c r="F50" i="12"/>
  <c r="F51" i="12" s="1"/>
  <c r="F52" i="12" s="1"/>
  <c r="F54" i="12" s="1"/>
  <c r="E50" i="12"/>
  <c r="E51" i="12" s="1"/>
  <c r="D49" i="12"/>
  <c r="F47" i="12"/>
  <c r="E47" i="12"/>
  <c r="D45" i="12"/>
  <c r="D44" i="12"/>
  <c r="D43" i="12"/>
  <c r="D42" i="12"/>
  <c r="D41" i="12"/>
  <c r="D40" i="12"/>
  <c r="D39" i="12"/>
  <c r="D38" i="12"/>
  <c r="D37" i="12"/>
  <c r="D36" i="12"/>
  <c r="D34" i="12"/>
  <c r="D26" i="12"/>
  <c r="D25" i="12"/>
  <c r="F23" i="12"/>
  <c r="E23" i="12"/>
  <c r="D21" i="12"/>
  <c r="D20" i="12"/>
  <c r="D19" i="12"/>
  <c r="F14" i="12"/>
  <c r="F27" i="12" s="1"/>
  <c r="E14" i="12"/>
  <c r="E27" i="12" s="1"/>
  <c r="U13" i="12"/>
  <c r="T13" i="12"/>
  <c r="S13" i="12"/>
  <c r="R11" i="13" s="1"/>
  <c r="R13" i="12"/>
  <c r="Q11" i="13" s="1"/>
  <c r="Q13" i="12"/>
  <c r="P13" i="12"/>
  <c r="O11" i="12"/>
  <c r="M9" i="15" s="1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D5" i="12" s="1"/>
  <c r="T40" i="13"/>
  <c r="S40" i="13"/>
  <c r="R40" i="13"/>
  <c r="Q40" i="13"/>
  <c r="T39" i="13"/>
  <c r="S39" i="13"/>
  <c r="R39" i="13"/>
  <c r="Q39" i="13"/>
  <c r="Q38" i="13" s="1"/>
  <c r="Q19" i="13" s="1"/>
  <c r="O19" i="13"/>
  <c r="N19" i="13"/>
  <c r="M19" i="13"/>
  <c r="L19" i="13"/>
  <c r="K19" i="13"/>
  <c r="J19" i="13"/>
  <c r="I19" i="13"/>
  <c r="H19" i="13"/>
  <c r="G19" i="13"/>
  <c r="E19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T17" i="13"/>
  <c r="S17" i="13"/>
  <c r="R17" i="13"/>
  <c r="Q17" i="13"/>
  <c r="P17" i="13"/>
  <c r="P23" i="13" s="1"/>
  <c r="O17" i="13"/>
  <c r="N17" i="13"/>
  <c r="M17" i="13"/>
  <c r="L17" i="13"/>
  <c r="K17" i="13"/>
  <c r="J17" i="13"/>
  <c r="I17" i="13"/>
  <c r="H17" i="13"/>
  <c r="G17" i="13"/>
  <c r="F17" i="13"/>
  <c r="E17" i="13"/>
  <c r="T11" i="13"/>
  <c r="S11" i="13"/>
  <c r="P11" i="13"/>
  <c r="O11" i="13"/>
  <c r="E10" i="13"/>
  <c r="F10" i="13" s="1"/>
  <c r="G10" i="13" s="1"/>
  <c r="H10" i="13" s="1"/>
  <c r="I10" i="13" s="1"/>
  <c r="J10" i="13" s="1"/>
  <c r="K10" i="13" s="1"/>
  <c r="D6" i="13"/>
  <c r="D4" i="13" s="1"/>
  <c r="E4" i="13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C40" i="5"/>
  <c r="C39" i="5"/>
  <c r="G20" i="5"/>
  <c r="G22" i="5" s="1"/>
  <c r="E20" i="5"/>
  <c r="C20" i="5"/>
  <c r="C22" i="5" s="1"/>
  <c r="C11" i="5"/>
  <c r="E9" i="5"/>
  <c r="D18" i="5" s="1"/>
  <c r="D9" i="5"/>
  <c r="G18" i="5" s="1"/>
  <c r="C57" i="3"/>
  <c r="C55" i="3"/>
  <c r="C45" i="3"/>
  <c r="G16" i="3"/>
  <c r="H16" i="3" s="1"/>
  <c r="H15" i="3" s="1"/>
  <c r="G14" i="3"/>
  <c r="H14" i="3" s="1"/>
  <c r="H13" i="3" s="1"/>
  <c r="G12" i="3"/>
  <c r="C12" i="3"/>
  <c r="C10" i="3"/>
  <c r="C3" i="3"/>
  <c r="D18" i="18"/>
  <c r="C9" i="5" s="1"/>
  <c r="C9" i="4"/>
  <c r="C4" i="3"/>
  <c r="C4" i="4"/>
  <c r="C3" i="4"/>
  <c r="R38" i="13" l="1"/>
  <c r="R19" i="13" s="1"/>
  <c r="C51" i="5"/>
  <c r="H51" i="5"/>
  <c r="H45" i="5"/>
  <c r="C45" i="5"/>
  <c r="D65" i="5" s="1"/>
  <c r="C54" i="5"/>
  <c r="D74" i="5" s="1"/>
  <c r="H54" i="5"/>
  <c r="H47" i="5"/>
  <c r="C47" i="5"/>
  <c r="C55" i="5"/>
  <c r="H55" i="5"/>
  <c r="C52" i="5"/>
  <c r="H52" i="5"/>
  <c r="H53" i="5"/>
  <c r="C53" i="5"/>
  <c r="D73" i="5" s="1"/>
  <c r="Q3" i="12" s="1"/>
  <c r="Q4" i="12" s="1"/>
  <c r="H48" i="5"/>
  <c r="C48" i="5"/>
  <c r="C49" i="5"/>
  <c r="H49" i="5"/>
  <c r="C57" i="5"/>
  <c r="H57" i="5"/>
  <c r="C46" i="5"/>
  <c r="D66" i="5" s="1"/>
  <c r="J3" i="12" s="1"/>
  <c r="J4" i="12" s="1"/>
  <c r="J10" i="12" s="1"/>
  <c r="H46" i="5"/>
  <c r="C43" i="5"/>
  <c r="H43" i="5"/>
  <c r="H58" i="5" s="1"/>
  <c r="H56" i="5"/>
  <c r="C56" i="5"/>
  <c r="H44" i="5"/>
  <c r="C44" i="5"/>
  <c r="D64" i="5" s="1"/>
  <c r="C50" i="5"/>
  <c r="H50" i="5"/>
  <c r="H12" i="3"/>
  <c r="H11" i="3" s="1"/>
  <c r="S38" i="13"/>
  <c r="S19" i="13" s="1"/>
  <c r="T38" i="13"/>
  <c r="T19" i="13" s="1"/>
  <c r="D69" i="5"/>
  <c r="E64" i="5"/>
  <c r="E3" i="14" s="1"/>
  <c r="H3" i="12"/>
  <c r="H4" i="12" s="1"/>
  <c r="G10" i="3"/>
  <c r="H10" i="3" s="1"/>
  <c r="H9" i="3" s="1"/>
  <c r="G19" i="3"/>
  <c r="H19" i="3" s="1"/>
  <c r="G8" i="3"/>
  <c r="H8" i="3" s="1"/>
  <c r="G23" i="3"/>
  <c r="H23" i="3" s="1"/>
  <c r="H22" i="3" s="1"/>
  <c r="G21" i="3"/>
  <c r="H21" i="3" s="1"/>
  <c r="H20" i="3" s="1"/>
  <c r="G18" i="3"/>
  <c r="H18" i="3" s="1"/>
  <c r="G7" i="3"/>
  <c r="H7" i="3" s="1"/>
  <c r="I3" i="12"/>
  <c r="I4" i="12" s="1"/>
  <c r="E65" i="5"/>
  <c r="F3" i="14" s="1"/>
  <c r="F4" i="5"/>
  <c r="D4" i="5"/>
  <c r="C8" i="4"/>
  <c r="C15" i="5" s="1"/>
  <c r="D3" i="3"/>
  <c r="C38" i="3"/>
  <c r="G24" i="12" s="1"/>
  <c r="F18" i="5"/>
  <c r="C34" i="5"/>
  <c r="C35" i="5" s="1"/>
  <c r="O13" i="12"/>
  <c r="N11" i="13" s="1"/>
  <c r="E52" i="12"/>
  <c r="E54" i="12" s="1"/>
  <c r="E73" i="5" l="1"/>
  <c r="N3" i="14" s="1"/>
  <c r="E66" i="5"/>
  <c r="G3" i="14" s="1"/>
  <c r="H6" i="3"/>
  <c r="D68" i="5"/>
  <c r="L3" i="12" s="1"/>
  <c r="L4" i="12" s="1"/>
  <c r="D70" i="5"/>
  <c r="D9" i="14"/>
  <c r="D10" i="14" s="1"/>
  <c r="H24" i="12"/>
  <c r="G23" i="12"/>
  <c r="M3" i="12"/>
  <c r="M4" i="12" s="1"/>
  <c r="E69" i="5"/>
  <c r="J3" i="14" s="1"/>
  <c r="H17" i="3"/>
  <c r="H10" i="12"/>
  <c r="I10" i="12"/>
  <c r="Q10" i="12"/>
  <c r="Q9" i="12" s="1"/>
  <c r="R3" i="12"/>
  <c r="R4" i="12" s="1"/>
  <c r="E74" i="5"/>
  <c r="O3" i="14" s="1"/>
  <c r="F20" i="5"/>
  <c r="F22" i="5" s="1"/>
  <c r="C17" i="5"/>
  <c r="D20" i="5"/>
  <c r="H24" i="3" l="1"/>
  <c r="C27" i="3" s="1"/>
  <c r="E68" i="5"/>
  <c r="I3" i="14" s="1"/>
  <c r="N3" i="12"/>
  <c r="N4" i="12" s="1"/>
  <c r="N10" i="12" s="1"/>
  <c r="E70" i="5"/>
  <c r="K3" i="14" s="1"/>
  <c r="D67" i="5"/>
  <c r="R10" i="12"/>
  <c r="R9" i="12" s="1"/>
  <c r="E12" i="15"/>
  <c r="D11" i="14"/>
  <c r="E9" i="14"/>
  <c r="H23" i="12"/>
  <c r="I24" i="12"/>
  <c r="N15" i="14"/>
  <c r="Q8" i="12"/>
  <c r="Q7" i="12"/>
  <c r="M10" i="12"/>
  <c r="C18" i="5"/>
  <c r="E17" i="5"/>
  <c r="E18" i="5" s="1"/>
  <c r="L10" i="12"/>
  <c r="D22" i="5"/>
  <c r="C29" i="3" l="1"/>
  <c r="E11" i="13" s="1"/>
  <c r="D23" i="5"/>
  <c r="D27" i="5" s="1"/>
  <c r="D24" i="5"/>
  <c r="D28" i="5" s="1"/>
  <c r="D75" i="5"/>
  <c r="D71" i="5"/>
  <c r="K3" i="12"/>
  <c r="K4" i="12" s="1"/>
  <c r="K10" i="12" s="1"/>
  <c r="E67" i="5"/>
  <c r="H3" i="14" s="1"/>
  <c r="D72" i="5"/>
  <c r="D76" i="5"/>
  <c r="D77" i="5"/>
  <c r="O15" i="14"/>
  <c r="R8" i="12"/>
  <c r="R7" i="12"/>
  <c r="F9" i="14"/>
  <c r="I23" i="12"/>
  <c r="J24" i="12"/>
  <c r="E10" i="14"/>
  <c r="C34" i="3"/>
  <c r="F11" i="12" s="1"/>
  <c r="C46" i="3"/>
  <c r="Q6" i="12"/>
  <c r="E27" i="3"/>
  <c r="C42" i="3"/>
  <c r="C31" i="3"/>
  <c r="C36" i="3" s="1"/>
  <c r="C32" i="3"/>
  <c r="C44" i="3"/>
  <c r="G12" i="12" l="1"/>
  <c r="D12" i="12" s="1"/>
  <c r="D11" i="13"/>
  <c r="D32" i="5"/>
  <c r="S3" i="12"/>
  <c r="S4" i="12" s="1"/>
  <c r="E75" i="5"/>
  <c r="P3" i="14" s="1"/>
  <c r="E72" i="5"/>
  <c r="M3" i="14" s="1"/>
  <c r="P3" i="12"/>
  <c r="P4" i="12" s="1"/>
  <c r="P10" i="12" s="1"/>
  <c r="P9" i="12" s="1"/>
  <c r="U3" i="12"/>
  <c r="U4" i="12" s="1"/>
  <c r="U10" i="12" s="1"/>
  <c r="U9" i="12" s="1"/>
  <c r="E77" i="5"/>
  <c r="R3" i="14" s="1"/>
  <c r="E71" i="5"/>
  <c r="L3" i="14" s="1"/>
  <c r="O3" i="12"/>
  <c r="O4" i="12" s="1"/>
  <c r="O10" i="12" s="1"/>
  <c r="O9" i="12" s="1"/>
  <c r="R6" i="12"/>
  <c r="R14" i="12" s="1"/>
  <c r="T3" i="12"/>
  <c r="T4" i="12" s="1"/>
  <c r="T10" i="12" s="1"/>
  <c r="T9" i="12" s="1"/>
  <c r="E76" i="5"/>
  <c r="Q3" i="14" s="1"/>
  <c r="C2" i="16"/>
  <c r="D16" i="13"/>
  <c r="F10" i="14"/>
  <c r="C4" i="15"/>
  <c r="C16" i="15"/>
  <c r="C36" i="5"/>
  <c r="D63" i="5"/>
  <c r="T18" i="12"/>
  <c r="L18" i="12"/>
  <c r="P18" i="12"/>
  <c r="H18" i="12"/>
  <c r="O18" i="12"/>
  <c r="N18" i="12"/>
  <c r="M18" i="12"/>
  <c r="K18" i="12"/>
  <c r="U18" i="12"/>
  <c r="J18" i="12"/>
  <c r="S18" i="12"/>
  <c r="I18" i="12"/>
  <c r="Q18" i="12"/>
  <c r="G18" i="12"/>
  <c r="R18" i="12"/>
  <c r="D4" i="15"/>
  <c r="D16" i="15"/>
  <c r="D24" i="13"/>
  <c r="E25" i="13"/>
  <c r="D25" i="13"/>
  <c r="C48" i="3"/>
  <c r="F12" i="15"/>
  <c r="E11" i="14"/>
  <c r="J23" i="12"/>
  <c r="K24" i="12"/>
  <c r="G9" i="14"/>
  <c r="N14" i="14"/>
  <c r="Q14" i="12"/>
  <c r="S10" i="12" l="1"/>
  <c r="S9" i="12" s="1"/>
  <c r="U8" i="12"/>
  <c r="U7" i="12"/>
  <c r="R15" i="14"/>
  <c r="O14" i="14"/>
  <c r="M15" i="14"/>
  <c r="P7" i="12"/>
  <c r="P8" i="12"/>
  <c r="L15" i="14"/>
  <c r="O8" i="12"/>
  <c r="O7" i="12"/>
  <c r="T7" i="12"/>
  <c r="Q15" i="14"/>
  <c r="T8" i="12"/>
  <c r="H6" i="15"/>
  <c r="J57" i="12"/>
  <c r="L24" i="12"/>
  <c r="K23" i="12"/>
  <c r="H9" i="14"/>
  <c r="F25" i="13"/>
  <c r="E24" i="13"/>
  <c r="S6" i="15"/>
  <c r="U17" i="12"/>
  <c r="U57" i="12"/>
  <c r="T17" i="12"/>
  <c r="R6" i="15"/>
  <c r="T57" i="12"/>
  <c r="P6" i="15"/>
  <c r="R17" i="12"/>
  <c r="R57" i="12"/>
  <c r="E6" i="15"/>
  <c r="D18" i="12"/>
  <c r="L6" i="15"/>
  <c r="N57" i="12"/>
  <c r="D23" i="13"/>
  <c r="E16" i="13"/>
  <c r="E23" i="13" s="1"/>
  <c r="G10" i="14"/>
  <c r="J6" i="15"/>
  <c r="L57" i="12"/>
  <c r="I6" i="15"/>
  <c r="K57" i="12"/>
  <c r="G3" i="12"/>
  <c r="E63" i="5"/>
  <c r="D3" i="14" s="1"/>
  <c r="K6" i="15"/>
  <c r="M57" i="12"/>
  <c r="G12" i="15"/>
  <c r="F11" i="14"/>
  <c r="O6" i="15"/>
  <c r="Q17" i="12"/>
  <c r="Q57" i="12"/>
  <c r="M6" i="15"/>
  <c r="O57" i="12"/>
  <c r="I4" i="16"/>
  <c r="H4" i="16"/>
  <c r="G4" i="16"/>
  <c r="B6" i="16"/>
  <c r="G22" i="12" s="1"/>
  <c r="F4" i="16"/>
  <c r="E4" i="16"/>
  <c r="K4" i="16"/>
  <c r="J4" i="16"/>
  <c r="D4" i="16"/>
  <c r="C4" i="16"/>
  <c r="B4" i="16"/>
  <c r="G6" i="15"/>
  <c r="I57" i="12"/>
  <c r="F6" i="15"/>
  <c r="H57" i="12"/>
  <c r="C58" i="3"/>
  <c r="C49" i="3"/>
  <c r="C60" i="3" s="1"/>
  <c r="C59" i="3" s="1"/>
  <c r="Q6" i="15"/>
  <c r="S17" i="12"/>
  <c r="S57" i="12"/>
  <c r="N6" i="15"/>
  <c r="P57" i="12"/>
  <c r="C38" i="5"/>
  <c r="C37" i="5"/>
  <c r="O6" i="12" l="1"/>
  <c r="U6" i="12"/>
  <c r="R14" i="14" s="1"/>
  <c r="P6" i="12"/>
  <c r="P14" i="12" s="1"/>
  <c r="T6" i="12"/>
  <c r="S8" i="12"/>
  <c r="P15" i="14"/>
  <c r="S7" i="12"/>
  <c r="S6" i="12" s="1"/>
  <c r="B7" i="16"/>
  <c r="D12" i="14" s="1"/>
  <c r="E8" i="15"/>
  <c r="E8" i="13"/>
  <c r="D8" i="13"/>
  <c r="D3" i="13" s="1"/>
  <c r="H10" i="14"/>
  <c r="F8" i="15"/>
  <c r="E12" i="14"/>
  <c r="J12" i="14"/>
  <c r="K8" i="15"/>
  <c r="M8" i="15"/>
  <c r="L12" i="14"/>
  <c r="K12" i="14"/>
  <c r="L8" i="15"/>
  <c r="D3" i="12"/>
  <c r="G4" i="12"/>
  <c r="G11" i="14"/>
  <c r="H12" i="15"/>
  <c r="G17" i="12"/>
  <c r="N8" i="15"/>
  <c r="M12" i="14"/>
  <c r="E12" i="13"/>
  <c r="L23" i="12"/>
  <c r="I9" i="14"/>
  <c r="M24" i="12"/>
  <c r="I12" i="14"/>
  <c r="J8" i="15"/>
  <c r="G8" i="15"/>
  <c r="F12" i="14"/>
  <c r="B5" i="16"/>
  <c r="D12" i="13"/>
  <c r="H8" i="15"/>
  <c r="G12" i="14"/>
  <c r="G25" i="13"/>
  <c r="I8" i="15"/>
  <c r="H12" i="14"/>
  <c r="D30" i="13" l="1"/>
  <c r="L14" i="14"/>
  <c r="O14" i="12"/>
  <c r="U14" i="12"/>
  <c r="M14" i="14"/>
  <c r="P14" i="14"/>
  <c r="S14" i="12"/>
  <c r="T14" i="12"/>
  <c r="Q14" i="14"/>
  <c r="H11" i="14"/>
  <c r="I12" i="15"/>
  <c r="F8" i="13"/>
  <c r="E3" i="13"/>
  <c r="D32" i="13"/>
  <c r="G57" i="12"/>
  <c r="D4" i="12"/>
  <c r="G10" i="12"/>
  <c r="J9" i="14"/>
  <c r="M23" i="12"/>
  <c r="N24" i="12"/>
  <c r="H25" i="13"/>
  <c r="C6" i="16"/>
  <c r="C5" i="16"/>
  <c r="F16" i="13"/>
  <c r="F23" i="13" s="1"/>
  <c r="I10" i="14"/>
  <c r="G16" i="12"/>
  <c r="K9" i="14" l="1"/>
  <c r="N23" i="12"/>
  <c r="O24" i="12"/>
  <c r="D6" i="16"/>
  <c r="D5" i="16"/>
  <c r="G16" i="13"/>
  <c r="G23" i="13" s="1"/>
  <c r="H22" i="12"/>
  <c r="C7" i="16"/>
  <c r="J10" i="14"/>
  <c r="D10" i="12"/>
  <c r="G11" i="12"/>
  <c r="G9" i="12" s="1"/>
  <c r="J12" i="15"/>
  <c r="I11" i="14"/>
  <c r="I25" i="13"/>
  <c r="F10" i="12"/>
  <c r="E30" i="13"/>
  <c r="E32" i="13"/>
  <c r="G8" i="12" l="1"/>
  <c r="D15" i="14"/>
  <c r="G7" i="12"/>
  <c r="I22" i="12"/>
  <c r="I17" i="12" s="1"/>
  <c r="I16" i="12" s="1"/>
  <c r="D7" i="16"/>
  <c r="K12" i="15"/>
  <c r="J11" i="14"/>
  <c r="E9" i="15"/>
  <c r="G13" i="12"/>
  <c r="H12" i="12"/>
  <c r="L9" i="14"/>
  <c r="P24" i="12"/>
  <c r="O23" i="12"/>
  <c r="J25" i="13"/>
  <c r="H17" i="12"/>
  <c r="E6" i="16"/>
  <c r="E5" i="16"/>
  <c r="H16" i="13"/>
  <c r="H23" i="13" s="1"/>
  <c r="K10" i="14"/>
  <c r="L10" i="14" l="1"/>
  <c r="K25" i="13"/>
  <c r="M9" i="14"/>
  <c r="P23" i="12"/>
  <c r="Q24" i="12"/>
  <c r="J22" i="12"/>
  <c r="E7" i="16"/>
  <c r="H11" i="12"/>
  <c r="I12" i="12" s="1"/>
  <c r="G6" i="12"/>
  <c r="F5" i="16"/>
  <c r="I16" i="13"/>
  <c r="I23" i="13" s="1"/>
  <c r="F6" i="16"/>
  <c r="H16" i="12"/>
  <c r="G8" i="13"/>
  <c r="H8" i="13" s="1"/>
  <c r="F11" i="13"/>
  <c r="L12" i="15"/>
  <c r="K11" i="14"/>
  <c r="J17" i="12" l="1"/>
  <c r="I8" i="13" s="1"/>
  <c r="N9" i="14"/>
  <c r="R24" i="12"/>
  <c r="Q23" i="12"/>
  <c r="Q16" i="12" s="1"/>
  <c r="Q27" i="12" s="1"/>
  <c r="Q33" i="12" s="1"/>
  <c r="M10" i="14"/>
  <c r="D14" i="14"/>
  <c r="G14" i="12"/>
  <c r="G27" i="12" s="1"/>
  <c r="G33" i="12" s="1"/>
  <c r="F9" i="15"/>
  <c r="H9" i="12"/>
  <c r="H13" i="12"/>
  <c r="K22" i="12"/>
  <c r="K17" i="12" s="1"/>
  <c r="K16" i="12" s="1"/>
  <c r="F7" i="16"/>
  <c r="I11" i="12"/>
  <c r="I13" i="12" s="1"/>
  <c r="H11" i="13" s="1"/>
  <c r="L25" i="13"/>
  <c r="G5" i="16"/>
  <c r="J16" i="13"/>
  <c r="J23" i="13" s="1"/>
  <c r="G6" i="16"/>
  <c r="M12" i="15"/>
  <c r="L11" i="14"/>
  <c r="E15" i="14" l="1"/>
  <c r="H8" i="12"/>
  <c r="H7" i="12"/>
  <c r="Q55" i="12"/>
  <c r="Q35" i="12"/>
  <c r="Q56" i="12"/>
  <c r="N12" i="15"/>
  <c r="M11" i="14"/>
  <c r="L22" i="12"/>
  <c r="L17" i="12" s="1"/>
  <c r="L16" i="12" s="1"/>
  <c r="G7" i="16"/>
  <c r="S24" i="12"/>
  <c r="O9" i="14"/>
  <c r="R23" i="12"/>
  <c r="R16" i="12" s="1"/>
  <c r="R27" i="12" s="1"/>
  <c r="R33" i="12" s="1"/>
  <c r="G9" i="15"/>
  <c r="I9" i="12"/>
  <c r="J12" i="12"/>
  <c r="J8" i="13"/>
  <c r="K8" i="13" s="1"/>
  <c r="N10" i="14"/>
  <c r="H5" i="16"/>
  <c r="K16" i="13"/>
  <c r="K23" i="13" s="1"/>
  <c r="H6" i="16"/>
  <c r="G35" i="12"/>
  <c r="G55" i="12"/>
  <c r="G56" i="12"/>
  <c r="M25" i="13"/>
  <c r="G11" i="13"/>
  <c r="J16" i="12"/>
  <c r="N25" i="13" l="1"/>
  <c r="Q46" i="12"/>
  <c r="Q47" i="12"/>
  <c r="Q48" i="12" s="1"/>
  <c r="N13" i="14" s="1"/>
  <c r="N16" i="14" s="1"/>
  <c r="P6" i="13" s="1"/>
  <c r="O10" i="14"/>
  <c r="T24" i="12"/>
  <c r="P9" i="14"/>
  <c r="S23" i="12"/>
  <c r="S16" i="12" s="1"/>
  <c r="S27" i="12" s="1"/>
  <c r="S33" i="12" s="1"/>
  <c r="O12" i="15"/>
  <c r="N11" i="14"/>
  <c r="G47" i="12"/>
  <c r="G46" i="12"/>
  <c r="H6" i="12"/>
  <c r="R56" i="12"/>
  <c r="R55" i="12"/>
  <c r="R35" i="12"/>
  <c r="M22" i="12"/>
  <c r="M17" i="12" s="1"/>
  <c r="H7" i="16"/>
  <c r="J11" i="12"/>
  <c r="K12" i="12" s="1"/>
  <c r="I6" i="16"/>
  <c r="I5" i="16"/>
  <c r="L16" i="13"/>
  <c r="L23" i="13" s="1"/>
  <c r="F15" i="14"/>
  <c r="I8" i="12"/>
  <c r="I7" i="12"/>
  <c r="J13" i="12" l="1"/>
  <c r="I11" i="13" s="1"/>
  <c r="O11" i="14"/>
  <c r="P12" i="15"/>
  <c r="I6" i="12"/>
  <c r="H9" i="15"/>
  <c r="J9" i="12"/>
  <c r="Q50" i="12"/>
  <c r="T23" i="12"/>
  <c r="T16" i="12" s="1"/>
  <c r="T27" i="12" s="1"/>
  <c r="T33" i="12" s="1"/>
  <c r="U24" i="12"/>
  <c r="Q9" i="14"/>
  <c r="N22" i="12"/>
  <c r="N17" i="12" s="1"/>
  <c r="N16" i="12" s="1"/>
  <c r="I7" i="16"/>
  <c r="M16" i="12"/>
  <c r="R47" i="12"/>
  <c r="R48" i="12" s="1"/>
  <c r="O13" i="14" s="1"/>
  <c r="O16" i="14" s="1"/>
  <c r="Q6" i="13" s="1"/>
  <c r="R46" i="12"/>
  <c r="L8" i="13"/>
  <c r="S56" i="12"/>
  <c r="S35" i="12"/>
  <c r="S55" i="12"/>
  <c r="G48" i="12"/>
  <c r="K11" i="12"/>
  <c r="L12" i="12" s="1"/>
  <c r="J6" i="16"/>
  <c r="J5" i="16"/>
  <c r="M16" i="13"/>
  <c r="M23" i="13" s="1"/>
  <c r="E14" i="14"/>
  <c r="H14" i="12"/>
  <c r="H27" i="12" s="1"/>
  <c r="H33" i="12" s="1"/>
  <c r="P10" i="14"/>
  <c r="O25" i="13"/>
  <c r="R50" i="12" l="1"/>
  <c r="P5" i="15" s="1"/>
  <c r="P4" i="15" s="1"/>
  <c r="P16" i="15" s="1"/>
  <c r="K13" i="12"/>
  <c r="J11" i="13" s="1"/>
  <c r="L11" i="12"/>
  <c r="L13" i="12" s="1"/>
  <c r="P11" i="14"/>
  <c r="Q12" i="15"/>
  <c r="G15" i="14"/>
  <c r="J8" i="12"/>
  <c r="J7" i="12"/>
  <c r="S47" i="12"/>
  <c r="S48" i="12" s="1"/>
  <c r="P13" i="14" s="1"/>
  <c r="P16" i="14" s="1"/>
  <c r="R6" i="13" s="1"/>
  <c r="S46" i="12"/>
  <c r="F14" i="14"/>
  <c r="I14" i="12"/>
  <c r="I27" i="12" s="1"/>
  <c r="I33" i="12" s="1"/>
  <c r="M8" i="13"/>
  <c r="Q10" i="14"/>
  <c r="I9" i="15"/>
  <c r="K9" i="12"/>
  <c r="R9" i="14"/>
  <c r="U23" i="12"/>
  <c r="D24" i="12"/>
  <c r="K6" i="16"/>
  <c r="K5" i="16"/>
  <c r="O16" i="13" s="1"/>
  <c r="O23" i="13" s="1"/>
  <c r="N16" i="13"/>
  <c r="N23" i="13" s="1"/>
  <c r="T56" i="12"/>
  <c r="T55" i="12"/>
  <c r="T35" i="12"/>
  <c r="P25" i="13"/>
  <c r="D13" i="14"/>
  <c r="D16" i="14" s="1"/>
  <c r="G50" i="12"/>
  <c r="Q51" i="12"/>
  <c r="Q52" i="12" s="1"/>
  <c r="Q54" i="12" s="1"/>
  <c r="O5" i="15"/>
  <c r="O4" i="15" s="1"/>
  <c r="O16" i="15" s="1"/>
  <c r="H55" i="12"/>
  <c r="H56" i="12"/>
  <c r="H35" i="12"/>
  <c r="O22" i="12"/>
  <c r="O17" i="12" s="1"/>
  <c r="O16" i="12" s="1"/>
  <c r="O27" i="12" s="1"/>
  <c r="O33" i="12" s="1"/>
  <c r="J7" i="16"/>
  <c r="N8" i="13" l="1"/>
  <c r="R51" i="12"/>
  <c r="R52" i="12" s="1"/>
  <c r="R54" i="12" s="1"/>
  <c r="S50" i="12"/>
  <c r="Q5" i="15" s="1"/>
  <c r="Q4" i="15" s="1"/>
  <c r="Q16" i="15" s="1"/>
  <c r="M12" i="12"/>
  <c r="M11" i="12" s="1"/>
  <c r="N12" i="12" s="1"/>
  <c r="K11" i="13"/>
  <c r="R12" i="15"/>
  <c r="Q11" i="14"/>
  <c r="J6" i="12"/>
  <c r="O35" i="12"/>
  <c r="O55" i="12"/>
  <c r="O56" i="12"/>
  <c r="H15" i="14"/>
  <c r="K8" i="12"/>
  <c r="K7" i="12"/>
  <c r="D17" i="14"/>
  <c r="F6" i="13"/>
  <c r="F4" i="13" s="1"/>
  <c r="F3" i="13" s="1"/>
  <c r="P22" i="12"/>
  <c r="K7" i="16"/>
  <c r="E5" i="15"/>
  <c r="E4" i="15" s="1"/>
  <c r="G51" i="12"/>
  <c r="H46" i="12"/>
  <c r="H47" i="12"/>
  <c r="Q25" i="13"/>
  <c r="I56" i="12"/>
  <c r="I55" i="12"/>
  <c r="I35" i="12"/>
  <c r="D23" i="12"/>
  <c r="U16" i="12"/>
  <c r="T46" i="12"/>
  <c r="T47" i="12"/>
  <c r="T48" i="12" s="1"/>
  <c r="Q13" i="14" s="1"/>
  <c r="Q16" i="14" s="1"/>
  <c r="S6" i="13" s="1"/>
  <c r="R10" i="14"/>
  <c r="J9" i="15"/>
  <c r="L9" i="12"/>
  <c r="S51" i="12" l="1"/>
  <c r="S52" i="12" s="1"/>
  <c r="S54" i="12" s="1"/>
  <c r="K6" i="12"/>
  <c r="K14" i="12" s="1"/>
  <c r="K27" i="12" s="1"/>
  <c r="K33" i="12" s="1"/>
  <c r="T50" i="12"/>
  <c r="T51" i="12" s="1"/>
  <c r="T52" i="12" s="1"/>
  <c r="T54" i="12" s="1"/>
  <c r="N11" i="12"/>
  <c r="F27" i="13"/>
  <c r="R25" i="13"/>
  <c r="O47" i="12"/>
  <c r="O48" i="12" s="1"/>
  <c r="L13" i="14" s="1"/>
  <c r="L16" i="14" s="1"/>
  <c r="N6" i="13" s="1"/>
  <c r="O46" i="12"/>
  <c r="S12" i="15"/>
  <c r="R11" i="14"/>
  <c r="H48" i="12"/>
  <c r="G14" i="14"/>
  <c r="J14" i="12"/>
  <c r="J27" i="12" s="1"/>
  <c r="J33" i="12" s="1"/>
  <c r="U27" i="12"/>
  <c r="U33" i="12" s="1"/>
  <c r="G5" i="13"/>
  <c r="I46" i="12"/>
  <c r="I47" i="12"/>
  <c r="I48" i="12" s="1"/>
  <c r="F13" i="14" s="1"/>
  <c r="F16" i="14" s="1"/>
  <c r="H6" i="13" s="1"/>
  <c r="H14" i="14"/>
  <c r="F32" i="13"/>
  <c r="G52" i="12"/>
  <c r="G54" i="12" s="1"/>
  <c r="E16" i="15"/>
  <c r="E13" i="15"/>
  <c r="F3" i="15" s="1"/>
  <c r="K9" i="15"/>
  <c r="M9" i="12"/>
  <c r="I15" i="14"/>
  <c r="L8" i="12"/>
  <c r="L7" i="12"/>
  <c r="M13" i="12"/>
  <c r="L11" i="13" s="1"/>
  <c r="P17" i="12"/>
  <c r="D22" i="12"/>
  <c r="L6" i="12" l="1"/>
  <c r="I14" i="14" s="1"/>
  <c r="R5" i="15"/>
  <c r="R4" i="15" s="1"/>
  <c r="R16" i="15" s="1"/>
  <c r="P16" i="12"/>
  <c r="D17" i="12"/>
  <c r="O8" i="13"/>
  <c r="P8" i="13" s="1"/>
  <c r="Q8" i="13" s="1"/>
  <c r="R8" i="13" s="1"/>
  <c r="S8" i="13" s="1"/>
  <c r="T8" i="13" s="1"/>
  <c r="E17" i="15"/>
  <c r="E19" i="15" s="1"/>
  <c r="D17" i="15"/>
  <c r="U56" i="12"/>
  <c r="U35" i="12"/>
  <c r="U55" i="12"/>
  <c r="F28" i="13"/>
  <c r="F24" i="13" s="1"/>
  <c r="F12" i="13" s="1"/>
  <c r="F30" i="13" s="1"/>
  <c r="J56" i="12"/>
  <c r="J55" i="12"/>
  <c r="J35" i="12"/>
  <c r="I50" i="12"/>
  <c r="O50" i="12"/>
  <c r="K35" i="12"/>
  <c r="K56" i="12"/>
  <c r="K55" i="12"/>
  <c r="L9" i="15"/>
  <c r="N9" i="12"/>
  <c r="D9" i="12" s="1"/>
  <c r="D11" i="12"/>
  <c r="M8" i="12"/>
  <c r="M7" i="12"/>
  <c r="J15" i="14"/>
  <c r="E13" i="14"/>
  <c r="E16" i="14" s="1"/>
  <c r="H50" i="12"/>
  <c r="S25" i="13"/>
  <c r="N13" i="12"/>
  <c r="L14" i="12" l="1"/>
  <c r="L27" i="12" s="1"/>
  <c r="L33" i="12" s="1"/>
  <c r="L55" i="12" s="1"/>
  <c r="M6" i="12"/>
  <c r="T25" i="13"/>
  <c r="U46" i="12"/>
  <c r="U47" i="12"/>
  <c r="U48" i="12" s="1"/>
  <c r="R13" i="14" s="1"/>
  <c r="R16" i="14" s="1"/>
  <c r="T6" i="13" s="1"/>
  <c r="F5" i="15"/>
  <c r="F4" i="15" s="1"/>
  <c r="H51" i="12"/>
  <c r="H52" i="12" s="1"/>
  <c r="H54" i="12" s="1"/>
  <c r="N8" i="12"/>
  <c r="D8" i="12" s="1"/>
  <c r="N7" i="12"/>
  <c r="K15" i="14"/>
  <c r="K47" i="12"/>
  <c r="K48" i="12" s="1"/>
  <c r="H13" i="14" s="1"/>
  <c r="H16" i="14" s="1"/>
  <c r="J6" i="13" s="1"/>
  <c r="K46" i="12"/>
  <c r="M5" i="15"/>
  <c r="M4" i="15" s="1"/>
  <c r="M16" i="15" s="1"/>
  <c r="O51" i="12"/>
  <c r="O52" i="12" s="1"/>
  <c r="O54" i="12" s="1"/>
  <c r="I51" i="12"/>
  <c r="I52" i="12" s="1"/>
  <c r="I54" i="12" s="1"/>
  <c r="G5" i="15"/>
  <c r="G4" i="15" s="1"/>
  <c r="G16" i="15" s="1"/>
  <c r="J47" i="12"/>
  <c r="J46" i="12"/>
  <c r="J14" i="14"/>
  <c r="M14" i="12"/>
  <c r="M27" i="12" s="1"/>
  <c r="M33" i="12" s="1"/>
  <c r="G6" i="13"/>
  <c r="G4" i="13" s="1"/>
  <c r="G3" i="13" s="1"/>
  <c r="E17" i="14"/>
  <c r="M11" i="13"/>
  <c r="D13" i="12"/>
  <c r="E20" i="15"/>
  <c r="P27" i="12"/>
  <c r="P33" i="12" s="1"/>
  <c r="D16" i="12"/>
  <c r="L56" i="12" l="1"/>
  <c r="L35" i="12"/>
  <c r="L46" i="12" s="1"/>
  <c r="K50" i="12"/>
  <c r="K51" i="12" s="1"/>
  <c r="K52" i="12" s="1"/>
  <c r="K54" i="12" s="1"/>
  <c r="H28" i="13"/>
  <c r="G28" i="13"/>
  <c r="P55" i="12"/>
  <c r="P35" i="12"/>
  <c r="P56" i="12"/>
  <c r="F16" i="15"/>
  <c r="F13" i="15"/>
  <c r="G3" i="15" s="1"/>
  <c r="G13" i="15" s="1"/>
  <c r="H3" i="15" s="1"/>
  <c r="G32" i="13"/>
  <c r="U50" i="12"/>
  <c r="G27" i="13"/>
  <c r="H27" i="13"/>
  <c r="H24" i="13" s="1"/>
  <c r="H12" i="13" s="1"/>
  <c r="N6" i="12"/>
  <c r="D7" i="12"/>
  <c r="F17" i="14"/>
  <c r="H5" i="13"/>
  <c r="H4" i="13" s="1"/>
  <c r="H3" i="13" s="1"/>
  <c r="J48" i="12"/>
  <c r="M56" i="12"/>
  <c r="M55" i="12"/>
  <c r="M35" i="12"/>
  <c r="I5" i="15"/>
  <c r="I4" i="15" s="1"/>
  <c r="I16" i="15" s="1"/>
  <c r="G24" i="13" l="1"/>
  <c r="G12" i="13" s="1"/>
  <c r="G30" i="13" s="1"/>
  <c r="L47" i="12"/>
  <c r="L48" i="12" s="1"/>
  <c r="I13" i="14" s="1"/>
  <c r="I16" i="14" s="1"/>
  <c r="K6" i="13" s="1"/>
  <c r="K14" i="14"/>
  <c r="N14" i="12"/>
  <c r="N27" i="12" s="1"/>
  <c r="N33" i="12" s="1"/>
  <c r="D6" i="12"/>
  <c r="D14" i="12" s="1"/>
  <c r="D27" i="12" s="1"/>
  <c r="D33" i="12" s="1"/>
  <c r="G13" i="14"/>
  <c r="G16" i="14" s="1"/>
  <c r="I6" i="13" s="1"/>
  <c r="J50" i="12"/>
  <c r="F17" i="15"/>
  <c r="F19" i="15" s="1"/>
  <c r="G17" i="15"/>
  <c r="G19" i="15" s="1"/>
  <c r="H30" i="13"/>
  <c r="H32" i="13"/>
  <c r="I5" i="13"/>
  <c r="P47" i="12"/>
  <c r="P48" i="12" s="1"/>
  <c r="M13" i="14" s="1"/>
  <c r="M16" i="14" s="1"/>
  <c r="O6" i="13" s="1"/>
  <c r="P46" i="12"/>
  <c r="M46" i="12"/>
  <c r="M47" i="12"/>
  <c r="U51" i="12"/>
  <c r="U52" i="12" s="1"/>
  <c r="U54" i="12" s="1"/>
  <c r="S5" i="15"/>
  <c r="S4" i="15" s="1"/>
  <c r="S16" i="15" s="1"/>
  <c r="L50" i="12" l="1"/>
  <c r="L51" i="12" s="1"/>
  <c r="L52" i="12" s="1"/>
  <c r="L54" i="12" s="1"/>
  <c r="I4" i="13"/>
  <c r="I3" i="13" s="1"/>
  <c r="I32" i="13" s="1"/>
  <c r="G17" i="14"/>
  <c r="H17" i="14" s="1"/>
  <c r="G20" i="15"/>
  <c r="F20" i="15"/>
  <c r="P50" i="12"/>
  <c r="J51" i="12"/>
  <c r="J52" i="12" s="1"/>
  <c r="J54" i="12" s="1"/>
  <c r="H5" i="15"/>
  <c r="H4" i="15" s="1"/>
  <c r="M48" i="12"/>
  <c r="D56" i="12"/>
  <c r="D55" i="12"/>
  <c r="N56" i="12"/>
  <c r="N35" i="12"/>
  <c r="N55" i="12"/>
  <c r="J5" i="15" l="1"/>
  <c r="J4" i="15" s="1"/>
  <c r="J16" i="15" s="1"/>
  <c r="J5" i="13"/>
  <c r="J4" i="13" s="1"/>
  <c r="J3" i="13" s="1"/>
  <c r="J32" i="13" s="1"/>
  <c r="I28" i="13"/>
  <c r="J28" i="13"/>
  <c r="K28" i="13"/>
  <c r="N5" i="15"/>
  <c r="N4" i="15" s="1"/>
  <c r="N16" i="15" s="1"/>
  <c r="P51" i="12"/>
  <c r="P52" i="12" s="1"/>
  <c r="P54" i="12" s="1"/>
  <c r="J13" i="14"/>
  <c r="J16" i="14" s="1"/>
  <c r="L6" i="13" s="1"/>
  <c r="M50" i="12"/>
  <c r="I17" i="14"/>
  <c r="K5" i="13"/>
  <c r="K4" i="13" s="1"/>
  <c r="K3" i="13" s="1"/>
  <c r="N47" i="12"/>
  <c r="N46" i="12"/>
  <c r="D46" i="12" s="1"/>
  <c r="D35" i="12"/>
  <c r="H16" i="15"/>
  <c r="H13" i="15"/>
  <c r="I3" i="15" s="1"/>
  <c r="I13" i="15" s="1"/>
  <c r="J3" i="15" s="1"/>
  <c r="J27" i="13"/>
  <c r="K27" i="13"/>
  <c r="I27" i="13"/>
  <c r="J13" i="15" l="1"/>
  <c r="K3" i="15" s="1"/>
  <c r="I24" i="13"/>
  <c r="I12" i="13" s="1"/>
  <c r="I30" i="13" s="1"/>
  <c r="J24" i="13"/>
  <c r="J12" i="13" s="1"/>
  <c r="J30" i="13" s="1"/>
  <c r="K24" i="13"/>
  <c r="K12" i="13" s="1"/>
  <c r="N48" i="12"/>
  <c r="D47" i="12"/>
  <c r="K30" i="13"/>
  <c r="K32" i="13"/>
  <c r="J17" i="14"/>
  <c r="L5" i="13"/>
  <c r="L4" i="13" s="1"/>
  <c r="L3" i="13" s="1"/>
  <c r="I17" i="15"/>
  <c r="I19" i="15" s="1"/>
  <c r="H17" i="15"/>
  <c r="H19" i="15" s="1"/>
  <c r="J17" i="15"/>
  <c r="J19" i="15" s="1"/>
  <c r="M51" i="12"/>
  <c r="M52" i="12" s="1"/>
  <c r="M54" i="12" s="1"/>
  <c r="K5" i="15"/>
  <c r="K4" i="15" s="1"/>
  <c r="K16" i="15" s="1"/>
  <c r="L28" i="13" l="1"/>
  <c r="L27" i="13"/>
  <c r="I20" i="15"/>
  <c r="H20" i="15"/>
  <c r="M5" i="13"/>
  <c r="K13" i="15"/>
  <c r="L3" i="15" s="1"/>
  <c r="L32" i="13"/>
  <c r="K17" i="15"/>
  <c r="K19" i="15" s="1"/>
  <c r="K20" i="15" s="1"/>
  <c r="J20" i="15"/>
  <c r="K13" i="14"/>
  <c r="K16" i="14" s="1"/>
  <c r="M6" i="13" s="1"/>
  <c r="D48" i="12"/>
  <c r="D50" i="12" s="1"/>
  <c r="N50" i="12"/>
  <c r="L24" i="13" l="1"/>
  <c r="L12" i="13" s="1"/>
  <c r="L30" i="13" s="1"/>
  <c r="N51" i="12"/>
  <c r="N52" i="12" s="1"/>
  <c r="N54" i="12" s="1"/>
  <c r="L5" i="15"/>
  <c r="L4" i="15" s="1"/>
  <c r="L16" i="15" s="1"/>
  <c r="M4" i="13"/>
  <c r="M3" i="13" s="1"/>
  <c r="D51" i="12"/>
  <c r="D52" i="12" s="1"/>
  <c r="D54" i="12" s="1"/>
  <c r="K17" i="14"/>
  <c r="M32" i="13" l="1"/>
  <c r="L13" i="15"/>
  <c r="M3" i="15" s="1"/>
  <c r="M13" i="15" s="1"/>
  <c r="N3" i="15" s="1"/>
  <c r="N13" i="15" s="1"/>
  <c r="O3" i="15" s="1"/>
  <c r="O13" i="15" s="1"/>
  <c r="P3" i="15" s="1"/>
  <c r="P13" i="15" s="1"/>
  <c r="Q3" i="15" s="1"/>
  <c r="Q13" i="15" s="1"/>
  <c r="R3" i="15" s="1"/>
  <c r="R13" i="15" s="1"/>
  <c r="S3" i="15" s="1"/>
  <c r="S13" i="15" s="1"/>
  <c r="N28" i="13"/>
  <c r="T28" i="13"/>
  <c r="M28" i="13"/>
  <c r="S28" i="13"/>
  <c r="Q28" i="13"/>
  <c r="P28" i="13"/>
  <c r="O28" i="13"/>
  <c r="R28" i="13"/>
  <c r="D21" i="15"/>
  <c r="Q17" i="15"/>
  <c r="Q19" i="15" s="1"/>
  <c r="R17" i="15"/>
  <c r="R19" i="15" s="1"/>
  <c r="M17" i="15"/>
  <c r="M19" i="15" s="1"/>
  <c r="O17" i="15"/>
  <c r="O19" i="15" s="1"/>
  <c r="N17" i="15"/>
  <c r="N19" i="15" s="1"/>
  <c r="S17" i="15"/>
  <c r="S19" i="15" s="1"/>
  <c r="L17" i="15"/>
  <c r="L19" i="15" s="1"/>
  <c r="P17" i="15"/>
  <c r="P19" i="15" s="1"/>
  <c r="L17" i="14"/>
  <c r="N5" i="13"/>
  <c r="N4" i="13" s="1"/>
  <c r="N3" i="13" s="1"/>
  <c r="Q27" i="13"/>
  <c r="O27" i="13"/>
  <c r="M27" i="13"/>
  <c r="P27" i="13"/>
  <c r="S27" i="13"/>
  <c r="T27" i="13"/>
  <c r="R27" i="13"/>
  <c r="N27" i="13"/>
  <c r="N24" i="13" s="1"/>
  <c r="N12" i="13" s="1"/>
  <c r="O24" i="13" l="1"/>
  <c r="O12" i="13" s="1"/>
  <c r="S20" i="15"/>
  <c r="T24" i="13"/>
  <c r="T12" i="13" s="1"/>
  <c r="Q24" i="13"/>
  <c r="Q12" i="13" s="1"/>
  <c r="N20" i="15"/>
  <c r="Q20" i="15"/>
  <c r="P24" i="13"/>
  <c r="P12" i="13" s="1"/>
  <c r="P20" i="15"/>
  <c r="N30" i="13"/>
  <c r="N32" i="13"/>
  <c r="R24" i="13"/>
  <c r="R12" i="13" s="1"/>
  <c r="M17" i="14"/>
  <c r="O5" i="13"/>
  <c r="O4" i="13" s="1"/>
  <c r="O3" i="13" s="1"/>
  <c r="R20" i="15"/>
  <c r="S24" i="13"/>
  <c r="S12" i="13" s="1"/>
  <c r="M20" i="15"/>
  <c r="L20" i="15"/>
  <c r="M24" i="13"/>
  <c r="M12" i="13" s="1"/>
  <c r="M30" i="13" s="1"/>
  <c r="O20" i="15"/>
  <c r="D18" i="15" l="1"/>
  <c r="N17" i="14"/>
  <c r="P5" i="13"/>
  <c r="P4" i="13" s="1"/>
  <c r="P3" i="13" s="1"/>
  <c r="O30" i="13"/>
  <c r="O32" i="13"/>
  <c r="P30" i="13" l="1"/>
  <c r="P32" i="13"/>
  <c r="O17" i="14"/>
  <c r="Q5" i="13"/>
  <c r="Q4" i="13" s="1"/>
  <c r="Q3" i="13" s="1"/>
  <c r="P17" i="14" l="1"/>
  <c r="R5" i="13"/>
  <c r="R4" i="13" s="1"/>
  <c r="R3" i="13" s="1"/>
  <c r="Q32" i="13"/>
  <c r="Q30" i="13"/>
  <c r="R30" i="13" l="1"/>
  <c r="R32" i="13"/>
  <c r="Q17" i="14"/>
  <c r="S5" i="13"/>
  <c r="S4" i="13" s="1"/>
  <c r="S3" i="13" s="1"/>
  <c r="S30" i="13" l="1"/>
  <c r="S31" i="13" s="1"/>
  <c r="S32" i="13"/>
  <c r="R17" i="14"/>
  <c r="T5" i="13"/>
  <c r="T4" i="13" s="1"/>
  <c r="T3" i="13" s="1"/>
  <c r="T30" i="13" l="1"/>
  <c r="T31" i="13" s="1"/>
  <c r="T32" i="13"/>
</calcChain>
</file>

<file path=xl/sharedStrings.xml><?xml version="1.0" encoding="utf-8"?>
<sst xmlns="http://schemas.openxmlformats.org/spreadsheetml/2006/main" count="554" uniqueCount="368">
  <si>
    <t>技术参数指标</t>
  </si>
  <si>
    <t>电芯配组</t>
  </si>
  <si>
    <t>序号</t>
  </si>
  <si>
    <t>指标</t>
  </si>
  <si>
    <t>参数</t>
  </si>
  <si>
    <t>项目</t>
  </si>
  <si>
    <t>单位</t>
  </si>
  <si>
    <t>循环次数</t>
  </si>
  <si>
    <t>模组</t>
  </si>
  <si>
    <t>V</t>
  </si>
  <si>
    <t>充电/放电效率</t>
  </si>
  <si>
    <t>模组容量</t>
  </si>
  <si>
    <t>Wh</t>
  </si>
  <si>
    <t>放电深度</t>
  </si>
  <si>
    <t>电池簇模组数</t>
  </si>
  <si>
    <t>个</t>
  </si>
  <si>
    <t>系统功率（KW）</t>
  </si>
  <si>
    <t>单簇电压</t>
  </si>
  <si>
    <t>电池容量（Wh）</t>
  </si>
  <si>
    <t>单簇容量</t>
  </si>
  <si>
    <t>有效容量（Wh）</t>
  </si>
  <si>
    <t>单簇BMU个数</t>
  </si>
  <si>
    <t>套</t>
  </si>
  <si>
    <t>单次循环衰减</t>
  </si>
  <si>
    <t>单簇高压盒含BCMU</t>
  </si>
  <si>
    <t>电池包电芯数（个）</t>
  </si>
  <si>
    <t>长</t>
  </si>
  <si>
    <t>mm</t>
  </si>
  <si>
    <t>电芯电压（V）</t>
  </si>
  <si>
    <t>宽</t>
  </si>
  <si>
    <t>电芯容量（AH）</t>
  </si>
  <si>
    <t>高</t>
  </si>
  <si>
    <t>类别</t>
  </si>
  <si>
    <t>变量</t>
  </si>
  <si>
    <t>数量</t>
  </si>
  <si>
    <t>备注</t>
  </si>
  <si>
    <t>系统确认</t>
  </si>
  <si>
    <t>集装箱数量</t>
  </si>
  <si>
    <t>电池模块</t>
  </si>
  <si>
    <t>元/Wh</t>
  </si>
  <si>
    <t>BMS单价</t>
  </si>
  <si>
    <t>集装箱单价</t>
  </si>
  <si>
    <t>40尺集装箱</t>
  </si>
  <si>
    <t>逆变升压一体仓</t>
  </si>
  <si>
    <t>元/kW</t>
  </si>
  <si>
    <t>PCS功率</t>
  </si>
  <si>
    <t>kW</t>
  </si>
  <si>
    <t>EMS单价</t>
  </si>
  <si>
    <t>元/套</t>
  </si>
  <si>
    <t>并网系统</t>
  </si>
  <si>
    <t>设计费</t>
  </si>
  <si>
    <t>调试验收</t>
  </si>
  <si>
    <t>土建施工及电气安装、装修</t>
  </si>
  <si>
    <t>%</t>
  </si>
  <si>
    <t>每天充放次数</t>
  </si>
  <si>
    <t>次/天</t>
  </si>
  <si>
    <t>90%DOD循环</t>
  </si>
  <si>
    <t>次</t>
  </si>
  <si>
    <t>商务确认</t>
  </si>
  <si>
    <t>土地租赁费</t>
  </si>
  <si>
    <t>度电折扣</t>
  </si>
  <si>
    <t>元/kWh</t>
  </si>
  <si>
    <t>峰值电价</t>
  </si>
  <si>
    <t>平时电价</t>
  </si>
  <si>
    <t>谷时电价</t>
  </si>
  <si>
    <t xml:space="preserve"> </t>
  </si>
  <si>
    <t>年有效工作天数</t>
  </si>
  <si>
    <t>天</t>
  </si>
  <si>
    <t>项目开发费用</t>
  </si>
  <si>
    <t>投资边界条件：
1、企业资信良好，国企、央企、事业单位、上市公司优先考虑；
2、项目单体容量不低于5MWh；
3、项目税后IRR大于8%</t>
  </si>
  <si>
    <t>一</t>
  </si>
  <si>
    <t>项目前期费用合计</t>
  </si>
  <si>
    <t>单价</t>
  </si>
  <si>
    <t>总价（元）</t>
  </si>
  <si>
    <t>前期踏勘、初设等</t>
  </si>
  <si>
    <t>二</t>
  </si>
  <si>
    <t>设备费用合计</t>
  </si>
  <si>
    <t>装机容量（Wh）</t>
  </si>
  <si>
    <t>编号</t>
  </si>
  <si>
    <t>名称</t>
  </si>
  <si>
    <t>厂家</t>
  </si>
  <si>
    <t>小计</t>
  </si>
  <si>
    <t>电池簇</t>
  </si>
  <si>
    <t>电池组</t>
  </si>
  <si>
    <t xml:space="preserve">上海采日能源
</t>
  </si>
  <si>
    <t>BMS</t>
  </si>
  <si>
    <t>上海采日能源</t>
  </si>
  <si>
    <t>集装箱系统</t>
  </si>
  <si>
    <t>电源转换系统</t>
  </si>
  <si>
    <t>储能控制系统</t>
  </si>
  <si>
    <t>EMS</t>
  </si>
  <si>
    <t>并网</t>
  </si>
  <si>
    <t>系统并网</t>
  </si>
  <si>
    <t>项</t>
  </si>
  <si>
    <t>其他</t>
  </si>
  <si>
    <t>建安费</t>
  </si>
  <si>
    <t>合计</t>
  </si>
  <si>
    <t>三</t>
  </si>
  <si>
    <t>费用汇总</t>
  </si>
  <si>
    <t>单位投资（元/Wh）</t>
  </si>
  <si>
    <t>静态投资</t>
  </si>
  <si>
    <t>元</t>
  </si>
  <si>
    <t>其中：</t>
  </si>
  <si>
    <t>可抵扣增值税</t>
  </si>
  <si>
    <t>无形资产摊销</t>
  </si>
  <si>
    <t>固定资产</t>
  </si>
  <si>
    <t>动态投资</t>
  </si>
  <si>
    <t>平均每瓦时首年运营成本</t>
  </si>
  <si>
    <t>首年运营费用</t>
  </si>
  <si>
    <t>年均运营成本增幅</t>
  </si>
  <si>
    <t>四</t>
  </si>
  <si>
    <t>建设资本结构</t>
  </si>
  <si>
    <r>
      <rPr>
        <sz val="10"/>
        <color theme="1"/>
        <rFont val="微软雅黑"/>
        <family val="2"/>
        <charset val="134"/>
      </rPr>
      <t>项目</t>
    </r>
  </si>
  <si>
    <t>资本金投入</t>
  </si>
  <si>
    <t xml:space="preserve"> - 资本金投入占比</t>
  </si>
  <si>
    <t>建设投资借款</t>
  </si>
  <si>
    <t xml:space="preserve"> - 借款占比</t>
  </si>
  <si>
    <t>固定资产净值</t>
  </si>
  <si>
    <t>固定资产总值</t>
  </si>
  <si>
    <t>五</t>
  </si>
  <si>
    <t>运营资本结构</t>
  </si>
  <si>
    <t>运营投资借款</t>
  </si>
  <si>
    <t>无形资产-土地摊销费用</t>
  </si>
  <si>
    <t>股权溢价资产</t>
  </si>
  <si>
    <t>储能电站效益分析</t>
  </si>
  <si>
    <t>一、前置条件</t>
  </si>
  <si>
    <t>一般工商业用电</t>
  </si>
  <si>
    <t>峰平价差</t>
  </si>
  <si>
    <t>峰谷价差</t>
  </si>
  <si>
    <t>高峰</t>
  </si>
  <si>
    <t>平段</t>
  </si>
  <si>
    <t>低谷</t>
  </si>
  <si>
    <t>尖峰</t>
  </si>
  <si>
    <t>电价（元／KWh）</t>
  </si>
  <si>
    <t>储能电站循环</t>
  </si>
  <si>
    <t>二、长江采日储能电站收益情况</t>
  </si>
  <si>
    <t>有效容量</t>
  </si>
  <si>
    <t>KWh</t>
  </si>
  <si>
    <t>充电时间</t>
  </si>
  <si>
    <t>24:00-8:00</t>
  </si>
  <si>
    <t>12:00-14:00</t>
  </si>
  <si>
    <t>分阶段充电电量</t>
  </si>
  <si>
    <t>储能站购电成本</t>
  </si>
  <si>
    <t>放电时间</t>
  </si>
  <si>
    <t>10:00-12:00</t>
  </si>
  <si>
    <t>14:00-27:00</t>
  </si>
  <si>
    <t>日均分阶段电量</t>
  </si>
  <si>
    <t>日均分阶段电费</t>
  </si>
  <si>
    <t>储能电站供电</t>
  </si>
  <si>
    <t>储能站售电收入</t>
  </si>
  <si>
    <t>日均营业收入</t>
  </si>
  <si>
    <t>7、8、9三月日节省电费</t>
  </si>
  <si>
    <t>基本电费</t>
  </si>
  <si>
    <r>
      <rPr>
        <sz val="12"/>
        <color rgb="FF000000"/>
        <rFont val="宋体"/>
        <family val="3"/>
        <charset val="134"/>
      </rPr>
      <t>月均节省电费（以</t>
    </r>
    <r>
      <rPr>
        <sz val="12"/>
        <color rgb="FF000000"/>
        <rFont val="Times New Roman"/>
        <family val="1"/>
      </rPr>
      <t>27.5</t>
    </r>
    <r>
      <rPr>
        <sz val="12"/>
        <color rgb="FF000000"/>
        <rFont val="宋体"/>
        <family val="3"/>
        <charset val="134"/>
      </rPr>
      <t>天计）</t>
    </r>
  </si>
  <si>
    <r>
      <rPr>
        <sz val="12"/>
        <color rgb="FF000000"/>
        <rFont val="Times New Roman"/>
        <family val="1"/>
      </rPr>
      <t>7</t>
    </r>
    <r>
      <rPr>
        <sz val="12"/>
        <color rgb="FF000000"/>
        <rFont val="宋体"/>
        <family val="3"/>
        <charset val="134"/>
      </rPr>
      <t>、8、9三月节省电费</t>
    </r>
  </si>
  <si>
    <t>三、结论</t>
  </si>
  <si>
    <t>每月节省电费</t>
  </si>
  <si>
    <t>第一年年节省电费</t>
  </si>
  <si>
    <t>每年330天</t>
  </si>
  <si>
    <t>装机容量</t>
  </si>
  <si>
    <t>总投资</t>
  </si>
  <si>
    <t>装机单价</t>
  </si>
  <si>
    <t>元／Wh</t>
  </si>
  <si>
    <t>有效单价</t>
  </si>
  <si>
    <t>0.3C80%循环</t>
  </si>
  <si>
    <t>单年循环</t>
  </si>
  <si>
    <t>收益年</t>
  </si>
  <si>
    <t>年节省电费</t>
  </si>
  <si>
    <t>业主收益</t>
  </si>
  <si>
    <t>第一年收益</t>
  </si>
  <si>
    <t>第二年收益</t>
  </si>
  <si>
    <t>第三年收益</t>
  </si>
  <si>
    <t>第四年收益</t>
  </si>
  <si>
    <t>第五年收益</t>
  </si>
  <si>
    <t>第六年收益</t>
  </si>
  <si>
    <t>第七年收益</t>
  </si>
  <si>
    <t>第八年收益</t>
  </si>
  <si>
    <t>第九年收益</t>
  </si>
  <si>
    <t>第十年收益</t>
  </si>
  <si>
    <t>第十一年收益</t>
  </si>
  <si>
    <t>第十二年收益</t>
  </si>
  <si>
    <t>第十三年收益</t>
  </si>
  <si>
    <t>第十四年收益</t>
  </si>
  <si>
    <t>第十五年收益</t>
  </si>
  <si>
    <t>总收益</t>
  </si>
  <si>
    <t>注意：</t>
  </si>
  <si>
    <t>1、储能电池可用至电池报废为止</t>
  </si>
  <si>
    <t>年份</t>
  </si>
  <si>
    <t>购电成本</t>
  </si>
  <si>
    <t>售电收入</t>
  </si>
  <si>
    <t>差额收益</t>
  </si>
  <si>
    <t>第一年</t>
  </si>
  <si>
    <t>第二年</t>
  </si>
  <si>
    <t>第三年</t>
  </si>
  <si>
    <t>第四年</t>
  </si>
  <si>
    <t>第五年</t>
  </si>
  <si>
    <t>第六年</t>
  </si>
  <si>
    <t>第七年</t>
  </si>
  <si>
    <t>第八年</t>
  </si>
  <si>
    <t>第九年</t>
  </si>
  <si>
    <t>第十年</t>
  </si>
  <si>
    <t>第十一年</t>
  </si>
  <si>
    <t>第十二年</t>
  </si>
  <si>
    <t>第十三年</t>
  </si>
  <si>
    <t>第十四年</t>
  </si>
  <si>
    <t>第十五年</t>
  </si>
  <si>
    <t>回到首页</t>
  </si>
  <si>
    <t xml:space="preserve"> 年份</t>
  </si>
  <si>
    <t>建设期</t>
  </si>
  <si>
    <t>运营期</t>
  </si>
  <si>
    <t>资产</t>
  </si>
  <si>
    <t>流动资产总值</t>
  </si>
  <si>
    <t>1.1.1</t>
  </si>
  <si>
    <t>累计盈余资金</t>
  </si>
  <si>
    <t>1.1.2</t>
  </si>
  <si>
    <t>流动资金</t>
  </si>
  <si>
    <t>在建工程</t>
  </si>
  <si>
    <t>无形及其他资产净值</t>
  </si>
  <si>
    <t>其他资产（商誉）</t>
  </si>
  <si>
    <t>可抵扣增值税形成的资产</t>
  </si>
  <si>
    <t>负债及所有者权益</t>
  </si>
  <si>
    <t>流动负债总额</t>
  </si>
  <si>
    <t>2.1.1</t>
  </si>
  <si>
    <t>本年短期借款</t>
  </si>
  <si>
    <t>2.1.2</t>
  </si>
  <si>
    <t>运营期借款</t>
  </si>
  <si>
    <t>2.3.1</t>
  </si>
  <si>
    <t>年初借款余额</t>
  </si>
  <si>
    <t>2.3.2</t>
  </si>
  <si>
    <t>当期还本付息</t>
  </si>
  <si>
    <t>2.3.3</t>
  </si>
  <si>
    <t>本年还本</t>
  </si>
  <si>
    <t>2.3.4</t>
  </si>
  <si>
    <t>本年付息</t>
  </si>
  <si>
    <t>流动资金借款</t>
  </si>
  <si>
    <t>负债小计（2.1+2.2+2.3+2.4）</t>
  </si>
  <si>
    <t>所有者权益</t>
  </si>
  <si>
    <t>2.6.1</t>
  </si>
  <si>
    <t>实收资本（股本）</t>
  </si>
  <si>
    <t>2.6.2</t>
  </si>
  <si>
    <t>资本公积</t>
  </si>
  <si>
    <t>2.6.3</t>
  </si>
  <si>
    <t>累计盈余公积金</t>
  </si>
  <si>
    <t>2.6.4</t>
  </si>
  <si>
    <t>累计未分配利润</t>
  </si>
  <si>
    <t>2.6.5</t>
  </si>
  <si>
    <t>固定资产残值</t>
  </si>
  <si>
    <t>check</t>
  </si>
  <si>
    <t>资产负债率（%）</t>
  </si>
  <si>
    <t>End of form</t>
  </si>
  <si>
    <t>等额本金</t>
  </si>
  <si>
    <t>等额本息</t>
  </si>
  <si>
    <t>等额还息，到期还本</t>
  </si>
  <si>
    <t>合计　</t>
  </si>
  <si>
    <t>项目（单位：元）</t>
  </si>
  <si>
    <t>总收入（所含增值税）</t>
  </si>
  <si>
    <t>主营业务收入（未税收入）</t>
  </si>
  <si>
    <t>主营业务成本</t>
  </si>
  <si>
    <t>销售税金及附加</t>
  </si>
  <si>
    <t>城市维护建设税</t>
  </si>
  <si>
    <t>教育费附加、地方教育费附加</t>
  </si>
  <si>
    <t>*.1</t>
  </si>
  <si>
    <t>当期交增值税</t>
  </si>
  <si>
    <t>*.1.1</t>
  </si>
  <si>
    <t>增值税销项税-进项税（万元）</t>
  </si>
  <si>
    <t>*.1.2</t>
  </si>
  <si>
    <t>当期抵扣进项税额</t>
  </si>
  <si>
    <t>*.1.3</t>
  </si>
  <si>
    <t>可抵扣增值税进项税额</t>
  </si>
  <si>
    <t>*.1.4</t>
  </si>
  <si>
    <t>期末可抵扣增值税（资产负债表）</t>
  </si>
  <si>
    <t>主营业务利润</t>
  </si>
  <si>
    <t>其他业务利润</t>
  </si>
  <si>
    <t>经营总费用</t>
  </si>
  <si>
    <t>固定费用</t>
  </si>
  <si>
    <t>6.1.1</t>
  </si>
  <si>
    <t>折旧费</t>
  </si>
  <si>
    <t>6.1.2</t>
  </si>
  <si>
    <t>工资福利、劳保统筹和住房基金</t>
  </si>
  <si>
    <t>6.1.3</t>
  </si>
  <si>
    <t>保险费</t>
  </si>
  <si>
    <t>6.1.4</t>
  </si>
  <si>
    <t>摊销费</t>
  </si>
  <si>
    <t>6.1.5</t>
  </si>
  <si>
    <t>利息支出</t>
  </si>
  <si>
    <t>可变费用</t>
  </si>
  <si>
    <t>6.2.1</t>
  </si>
  <si>
    <t>经营成本-运营每瓦成本</t>
  </si>
  <si>
    <t>6.2.2</t>
  </si>
  <si>
    <t>维修费</t>
  </si>
  <si>
    <t>6.2.3</t>
  </si>
  <si>
    <t>土地租赁</t>
  </si>
  <si>
    <t>营业利润</t>
  </si>
  <si>
    <t>补贴收入（应税）--财政补贴+免征</t>
  </si>
  <si>
    <t>专项财政补贴</t>
  </si>
  <si>
    <t>中央财政补贴增值税免征--应该少交的增值税</t>
  </si>
  <si>
    <t>地方财政补贴增值税免征--应该少交的增值税</t>
  </si>
  <si>
    <t>营业外支出</t>
  </si>
  <si>
    <t>利润总额</t>
  </si>
  <si>
    <t>弥补以前年度亏损</t>
  </si>
  <si>
    <t>11.2.1</t>
  </si>
  <si>
    <t>弥补以前5年亏损</t>
  </si>
  <si>
    <t>11.2.2</t>
  </si>
  <si>
    <t>弥补以前4年亏损</t>
  </si>
  <si>
    <t>11.2.3</t>
  </si>
  <si>
    <t>弥补以前3年亏损</t>
  </si>
  <si>
    <t>11.2.4</t>
  </si>
  <si>
    <t>弥补以前2年亏损</t>
  </si>
  <si>
    <t>11.2.5</t>
  </si>
  <si>
    <t>弥补以前1年亏损</t>
  </si>
  <si>
    <t>11.3.1</t>
  </si>
  <si>
    <t>结转以后年度亏损额(-5)</t>
  </si>
  <si>
    <t>11.3.2</t>
  </si>
  <si>
    <t>结转以后年度亏损额(-4)</t>
  </si>
  <si>
    <t>11.3.3</t>
  </si>
  <si>
    <t>结转以后年度亏损额(-3)</t>
  </si>
  <si>
    <t>11.3.4</t>
  </si>
  <si>
    <t>结转以后年度亏损额(-2)</t>
  </si>
  <si>
    <t>11.3.5</t>
  </si>
  <si>
    <t>结转以后年度亏损额(-1)</t>
  </si>
  <si>
    <t>企业所得税</t>
  </si>
  <si>
    <t>应纳税所得额</t>
  </si>
  <si>
    <t>应缴所得税</t>
  </si>
  <si>
    <t>所得税抵扣</t>
  </si>
  <si>
    <t>净利润</t>
  </si>
  <si>
    <t>提取法定盈余公积金</t>
  </si>
  <si>
    <t>可供投资者分配的利润</t>
  </si>
  <si>
    <t>应付利润</t>
  </si>
  <si>
    <t>当期未分配利润</t>
  </si>
  <si>
    <t>息税前利润（利润总额＋利息支出）</t>
  </si>
  <si>
    <t>息税折旧摊销前利润(利润总额+折旧费)</t>
  </si>
  <si>
    <t>销售毛利率</t>
  </si>
  <si>
    <t>期初（元）</t>
  </si>
  <si>
    <t>现金变化（元）</t>
  </si>
  <si>
    <t>折旧</t>
  </si>
  <si>
    <t>摊销</t>
  </si>
  <si>
    <t>本金还款</t>
  </si>
  <si>
    <t>可抵扣增值税资产变化</t>
  </si>
  <si>
    <t>建设投资</t>
  </si>
  <si>
    <t xml:space="preserve">  </t>
  </si>
  <si>
    <t>回收固定资产余值</t>
  </si>
  <si>
    <t>流动资金回收</t>
  </si>
  <si>
    <t>期末</t>
  </si>
  <si>
    <t>无杠杆回报</t>
  </si>
  <si>
    <t>息税后净现金流量（元）</t>
  </si>
  <si>
    <t>累计息税后净现金流量（元）</t>
  </si>
  <si>
    <t>无杠杆投资回收期</t>
  </si>
  <si>
    <t>年</t>
  </si>
  <si>
    <t>无杠杆项目回报率</t>
  </si>
  <si>
    <t xml:space="preserve">    </t>
  </si>
  <si>
    <t>铺底流动资金</t>
  </si>
  <si>
    <t>售电收入（含税）-应缴纳电费</t>
  </si>
  <si>
    <t>应收账款</t>
  </si>
  <si>
    <t>库存</t>
  </si>
  <si>
    <t>现金</t>
  </si>
  <si>
    <t>应付账款-设备</t>
  </si>
  <si>
    <t>应付账款-建安</t>
  </si>
  <si>
    <t>应付账款-付现运维</t>
  </si>
  <si>
    <t>流动资金余额</t>
  </si>
  <si>
    <t>流动资金变动</t>
  </si>
  <si>
    <t>应交增值税</t>
  </si>
  <si>
    <t>借款总额</t>
  </si>
  <si>
    <t>利息</t>
  </si>
  <si>
    <t>偿还本金</t>
  </si>
  <si>
    <t>借款余额</t>
  </si>
  <si>
    <t>偿还利息</t>
  </si>
  <si>
    <t>还本付息总额</t>
  </si>
  <si>
    <t>20尺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</si>
</sst>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\¥#,##0.00;[Red]\¥\-#,##0.00"/>
    <numFmt numFmtId="177" formatCode="0.00_ "/>
    <numFmt numFmtId="178" formatCode="_ * #,##0_ ;_ * \-#,##0_ ;_ * &quot;-&quot;??_ ;_ @_ "/>
    <numFmt numFmtId="179" formatCode="#,##0.00_);[Red]\(#,##0.00\)"/>
    <numFmt numFmtId="180" formatCode="_ * #,##0.0_ ;_ * \-#,##0.0_ ;_ * &quot;-&quot;??_ ;_ @_ "/>
    <numFmt numFmtId="181" formatCode="0.0%"/>
    <numFmt numFmtId="182" formatCode="#,##0_);[Red]\(#,##0\)"/>
    <numFmt numFmtId="183" formatCode="0_ "/>
  </numFmts>
  <fonts count="4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8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theme="1"/>
      <name val="黑体"/>
      <family val="3"/>
      <charset val="134"/>
    </font>
    <font>
      <b/>
      <sz val="10"/>
      <name val="黑体"/>
      <family val="3"/>
      <charset val="134"/>
    </font>
    <font>
      <b/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 tint="-0.34998626667073579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b/>
      <sz val="12"/>
      <color rgb="FFFF0000"/>
      <name val="宋体"/>
      <family val="3"/>
      <charset val="134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1"/>
      <color rgb="FF000000"/>
      <name val="DengXian"/>
      <family val="1"/>
    </font>
    <font>
      <sz val="11"/>
      <color rgb="FF000000"/>
      <name val="DengXian"/>
      <charset val="134"/>
    </font>
    <font>
      <sz val="11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DengXian"/>
      <charset val="134"/>
    </font>
    <font>
      <sz val="11"/>
      <color rgb="FF000000"/>
      <name val="Abadi MT Condensed Extra Bold"/>
      <family val="1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0" fontId="1" fillId="0" borderId="0" xfId="0" applyFont="1">
      <alignment vertical="center"/>
    </xf>
    <xf numFmtId="4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43" fontId="0" fillId="0" borderId="1" xfId="0" applyNumberFormat="1" applyBorder="1">
      <alignment vertical="center"/>
    </xf>
    <xf numFmtId="0" fontId="1" fillId="0" borderId="0" xfId="0" applyFont="1" applyFill="1" applyBorder="1">
      <alignment vertical="center"/>
    </xf>
    <xf numFmtId="10" fontId="0" fillId="0" borderId="0" xfId="2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4" fillId="0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178" fontId="6" fillId="0" borderId="1" xfId="1" applyNumberFormat="1" applyFont="1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178" fontId="4" fillId="0" borderId="1" xfId="1" applyNumberFormat="1" applyFont="1" applyFill="1" applyBorder="1">
      <alignment vertical="center"/>
    </xf>
    <xf numFmtId="0" fontId="4" fillId="0" borderId="1" xfId="0" applyFont="1" applyBorder="1" applyAlignment="1">
      <alignment horizontal="justify" vertical="center" wrapText="1"/>
    </xf>
    <xf numFmtId="178" fontId="5" fillId="0" borderId="1" xfId="1" applyNumberFormat="1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178" fontId="4" fillId="0" borderId="1" xfId="0" applyNumberFormat="1" applyFont="1" applyFill="1" applyBorder="1">
      <alignment vertical="center"/>
    </xf>
    <xf numFmtId="178" fontId="4" fillId="0" borderId="1" xfId="1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vertical="center" wrapText="1"/>
    </xf>
    <xf numFmtId="179" fontId="4" fillId="5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vertical="center" wrapText="1"/>
    </xf>
    <xf numFmtId="179" fontId="7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horizontal="justify" vertical="center" wrapText="1"/>
    </xf>
    <xf numFmtId="10" fontId="4" fillId="5" borderId="1" xfId="2" applyNumberFormat="1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2" xfId="0" applyFont="1" applyFill="1" applyBorder="1" applyAlignment="1">
      <alignment horizontal="justify" vertical="center" wrapText="1"/>
    </xf>
    <xf numFmtId="176" fontId="4" fillId="0" borderId="0" xfId="0" applyNumberFormat="1" applyFont="1" applyFill="1">
      <alignment vertical="center"/>
    </xf>
    <xf numFmtId="178" fontId="4" fillId="0" borderId="0" xfId="0" applyNumberFormat="1" applyFont="1" applyFill="1">
      <alignment vertical="center"/>
    </xf>
    <xf numFmtId="43" fontId="8" fillId="0" borderId="0" xfId="1" applyFont="1" applyAlignment="1">
      <alignment horizontal="center" vertical="center"/>
    </xf>
    <xf numFmtId="43" fontId="9" fillId="0" borderId="1" xfId="1" applyFont="1" applyFill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/>
    </xf>
    <xf numFmtId="43" fontId="10" fillId="0" borderId="1" xfId="1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 wrapText="1"/>
    </xf>
    <xf numFmtId="43" fontId="11" fillId="0" borderId="1" xfId="1" applyFont="1" applyBorder="1" applyAlignment="1">
      <alignment horizontal="center" vertical="center"/>
    </xf>
    <xf numFmtId="43" fontId="10" fillId="6" borderId="1" xfId="1" applyFont="1" applyFill="1" applyBorder="1" applyAlignment="1">
      <alignment horizontal="center" vertical="center"/>
    </xf>
    <xf numFmtId="43" fontId="8" fillId="6" borderId="1" xfId="1" applyFont="1" applyFill="1" applyBorder="1" applyAlignment="1">
      <alignment horizontal="center" vertical="center" wrapText="1"/>
    </xf>
    <xf numFmtId="43" fontId="11" fillId="6" borderId="1" xfId="1" applyFont="1" applyFill="1" applyBorder="1" applyAlignment="1">
      <alignment horizontal="center" vertical="center"/>
    </xf>
    <xf numFmtId="43" fontId="8" fillId="7" borderId="1" xfId="1" applyFont="1" applyFill="1" applyBorder="1" applyAlignment="1">
      <alignment horizontal="center" vertical="center"/>
    </xf>
    <xf numFmtId="43" fontId="8" fillId="7" borderId="1" xfId="1" applyFont="1" applyFill="1" applyBorder="1" applyAlignment="1">
      <alignment horizontal="left" vertical="center" wrapText="1"/>
    </xf>
    <xf numFmtId="43" fontId="11" fillId="7" borderId="1" xfId="1" applyFont="1" applyFill="1" applyBorder="1" applyAlignment="1">
      <alignment horizontal="center" vertical="center"/>
    </xf>
    <xf numFmtId="43" fontId="8" fillId="8" borderId="1" xfId="1" applyFont="1" applyFill="1" applyBorder="1" applyAlignment="1">
      <alignment horizontal="center" vertical="center"/>
    </xf>
    <xf numFmtId="43" fontId="8" fillId="8" borderId="1" xfId="1" applyFont="1" applyFill="1" applyBorder="1" applyAlignment="1">
      <alignment horizontal="center" vertical="center" wrapText="1"/>
    </xf>
    <xf numFmtId="43" fontId="11" fillId="8" borderId="1" xfId="1" applyFont="1" applyFill="1" applyBorder="1" applyAlignment="1">
      <alignment horizontal="center" vertical="center"/>
    </xf>
    <xf numFmtId="43" fontId="8" fillId="9" borderId="1" xfId="1" applyFont="1" applyFill="1" applyBorder="1" applyAlignment="1">
      <alignment horizontal="center" vertical="center"/>
    </xf>
    <xf numFmtId="43" fontId="8" fillId="9" borderId="1" xfId="1" applyFont="1" applyFill="1" applyBorder="1" applyAlignment="1">
      <alignment horizontal="left" vertical="center" wrapText="1"/>
    </xf>
    <xf numFmtId="43" fontId="11" fillId="9" borderId="1" xfId="1" applyFont="1" applyFill="1" applyBorder="1" applyAlignment="1">
      <alignment horizontal="center" vertical="center"/>
    </xf>
    <xf numFmtId="43" fontId="8" fillId="10" borderId="1" xfId="1" applyFont="1" applyFill="1" applyBorder="1" applyAlignment="1">
      <alignment horizontal="center" vertical="center"/>
    </xf>
    <xf numFmtId="43" fontId="8" fillId="10" borderId="1" xfId="1" applyFont="1" applyFill="1" applyBorder="1" applyAlignment="1">
      <alignment horizontal="center" vertical="center" wrapText="1"/>
    </xf>
    <xf numFmtId="43" fontId="11" fillId="10" borderId="1" xfId="1" applyFont="1" applyFill="1" applyBorder="1" applyAlignment="1">
      <alignment horizontal="center" vertical="center"/>
    </xf>
    <xf numFmtId="43" fontId="8" fillId="11" borderId="1" xfId="1" applyFont="1" applyFill="1" applyBorder="1" applyAlignment="1">
      <alignment horizontal="center" vertical="center"/>
    </xf>
    <xf numFmtId="43" fontId="8" fillId="11" borderId="1" xfId="1" applyFont="1" applyFill="1" applyBorder="1" applyAlignment="1">
      <alignment horizontal="left" vertical="center" wrapText="1"/>
    </xf>
    <xf numFmtId="43" fontId="11" fillId="11" borderId="1" xfId="1" applyFont="1" applyFill="1" applyBorder="1" applyAlignment="1">
      <alignment horizontal="center" vertical="center"/>
    </xf>
    <xf numFmtId="43" fontId="8" fillId="12" borderId="1" xfId="1" applyFont="1" applyFill="1" applyBorder="1" applyAlignment="1">
      <alignment horizontal="center" vertical="center"/>
    </xf>
    <xf numFmtId="43" fontId="8" fillId="12" borderId="1" xfId="1" applyFont="1" applyFill="1" applyBorder="1" applyAlignment="1">
      <alignment horizontal="center" vertical="center" wrapText="1"/>
    </xf>
    <xf numFmtId="43" fontId="11" fillId="12" borderId="1" xfId="1" applyFont="1" applyFill="1" applyBorder="1" applyAlignment="1">
      <alignment horizontal="center" vertical="center"/>
    </xf>
    <xf numFmtId="43" fontId="8" fillId="13" borderId="1" xfId="1" applyFont="1" applyFill="1" applyBorder="1" applyAlignment="1">
      <alignment horizontal="center" vertical="center"/>
    </xf>
    <xf numFmtId="43" fontId="8" fillId="13" borderId="1" xfId="1" applyFont="1" applyFill="1" applyBorder="1" applyAlignment="1">
      <alignment horizontal="left" vertical="center" wrapText="1"/>
    </xf>
    <xf numFmtId="43" fontId="11" fillId="13" borderId="1" xfId="1" applyFont="1" applyFill="1" applyBorder="1" applyAlignment="1">
      <alignment horizontal="center" vertical="center"/>
    </xf>
    <xf numFmtId="43" fontId="8" fillId="14" borderId="1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43" fontId="4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justify" vertical="center" wrapText="1"/>
    </xf>
    <xf numFmtId="178" fontId="13" fillId="0" borderId="1" xfId="1" applyNumberFormat="1" applyFont="1" applyFill="1" applyBorder="1" applyAlignment="1">
      <alignment horizontal="center" vertical="center" wrapText="1"/>
    </xf>
    <xf numFmtId="180" fontId="13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/>
    </xf>
    <xf numFmtId="178" fontId="14" fillId="0" borderId="1" xfId="1" applyNumberFormat="1" applyFont="1" applyFill="1" applyBorder="1" applyAlignment="1">
      <alignment horizontal="center" vertical="center" wrapText="1"/>
    </xf>
    <xf numFmtId="178" fontId="15" fillId="0" borderId="1" xfId="1" applyNumberFormat="1" applyFont="1" applyFill="1" applyBorder="1" applyAlignment="1">
      <alignment vertical="center" wrapText="1"/>
    </xf>
    <xf numFmtId="178" fontId="15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178" fontId="14" fillId="0" borderId="1" xfId="1" applyNumberFormat="1" applyFont="1" applyFill="1" applyBorder="1" applyAlignment="1">
      <alignment vertical="center" wrapText="1"/>
    </xf>
    <xf numFmtId="178" fontId="16" fillId="0" borderId="1" xfId="0" applyNumberFormat="1" applyFont="1" applyFill="1" applyBorder="1" applyAlignment="1">
      <alignment vertical="center"/>
    </xf>
    <xf numFmtId="178" fontId="16" fillId="0" borderId="1" xfId="1" applyNumberFormat="1" applyFont="1" applyFill="1" applyBorder="1" applyAlignment="1">
      <alignment horizontal="center" vertical="center" wrapText="1"/>
    </xf>
    <xf numFmtId="178" fontId="17" fillId="0" borderId="1" xfId="1" applyNumberFormat="1" applyFont="1" applyFill="1" applyBorder="1" applyAlignment="1">
      <alignment horizontal="center" vertical="center" wrapText="1"/>
    </xf>
    <xf numFmtId="181" fontId="18" fillId="0" borderId="1" xfId="2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/>
    </xf>
    <xf numFmtId="178" fontId="4" fillId="0" borderId="1" xfId="0" applyNumberFormat="1" applyFont="1" applyFill="1" applyBorder="1" applyAlignment="1">
      <alignment vertical="center"/>
    </xf>
    <xf numFmtId="182" fontId="4" fillId="0" borderId="1" xfId="0" applyNumberFormat="1" applyFont="1" applyFill="1" applyBorder="1" applyAlignment="1">
      <alignment vertical="center"/>
    </xf>
    <xf numFmtId="183" fontId="4" fillId="0" borderId="1" xfId="0" applyNumberFormat="1" applyFont="1" applyFill="1" applyBorder="1" applyAlignment="1">
      <alignment vertical="center"/>
    </xf>
    <xf numFmtId="178" fontId="17" fillId="0" borderId="1" xfId="1" applyNumberFormat="1" applyFont="1" applyFill="1" applyBorder="1" applyAlignment="1">
      <alignment vertical="center" wrapText="1"/>
    </xf>
    <xf numFmtId="178" fontId="4" fillId="0" borderId="0" xfId="1" applyNumberFormat="1" applyFont="1" applyFill="1" applyBorder="1">
      <alignment vertical="center"/>
    </xf>
    <xf numFmtId="1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25" fillId="0" borderId="2" xfId="0" applyFont="1" applyBorder="1" applyAlignment="1">
      <alignment horizontal="left" wrapText="1"/>
    </xf>
    <xf numFmtId="0" fontId="26" fillId="0" borderId="2" xfId="0" applyFont="1" applyBorder="1" applyAlignment="1">
      <alignment horizontal="left" wrapText="1"/>
    </xf>
    <xf numFmtId="0" fontId="26" fillId="0" borderId="0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23" fillId="14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1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28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/>
    </xf>
    <xf numFmtId="43" fontId="0" fillId="14" borderId="1" xfId="0" applyNumberFormat="1" applyFill="1" applyBorder="1" applyAlignment="1">
      <alignment horizontal="center"/>
    </xf>
    <xf numFmtId="0" fontId="30" fillId="0" borderId="0" xfId="0" applyFont="1" applyFill="1" applyBorder="1" applyAlignment="1">
      <alignment wrapText="1"/>
    </xf>
    <xf numFmtId="43" fontId="0" fillId="0" borderId="0" xfId="0" applyNumberFormat="1" applyBorder="1" applyAlignment="1">
      <alignment horizontal="center" vertical="center"/>
    </xf>
    <xf numFmtId="0" fontId="30" fillId="0" borderId="0" xfId="0" applyFont="1" applyAlignment="1">
      <alignment horizontal="left" wrapText="1"/>
    </xf>
    <xf numFmtId="43" fontId="0" fillId="0" borderId="1" xfId="0" applyNumberForma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43" fontId="31" fillId="14" borderId="1" xfId="1" applyFont="1" applyFill="1" applyBorder="1" applyAlignment="1">
      <alignment horizontal="center" vertical="center"/>
    </xf>
    <xf numFmtId="0" fontId="31" fillId="0" borderId="1" xfId="0" applyFont="1" applyBorder="1" applyAlignment="1"/>
    <xf numFmtId="43" fontId="0" fillId="0" borderId="1" xfId="1" applyFont="1" applyBorder="1">
      <alignment vertical="center"/>
    </xf>
    <xf numFmtId="0" fontId="32" fillId="0" borderId="1" xfId="0" applyFont="1" applyBorder="1" applyAlignment="1">
      <alignment horizontal="center" vertical="center" wrapText="1"/>
    </xf>
    <xf numFmtId="0" fontId="32" fillId="14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3" fontId="35" fillId="0" borderId="1" xfId="0" applyNumberFormat="1" applyFont="1" applyBorder="1" applyAlignment="1">
      <alignment horizontal="center" vertical="center"/>
    </xf>
    <xf numFmtId="0" fontId="31" fillId="14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1" fillId="0" borderId="0" xfId="0" applyFont="1" applyFill="1" applyBorder="1" applyAlignment="1"/>
    <xf numFmtId="0" fontId="35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3" fontId="0" fillId="0" borderId="0" xfId="1" applyFont="1" applyAlignment="1"/>
    <xf numFmtId="0" fontId="37" fillId="0" borderId="0" xfId="0" applyFont="1" applyFill="1" applyBorder="1" applyAlignment="1">
      <alignment horizontal="left" vertical="center" indent="1"/>
    </xf>
    <xf numFmtId="0" fontId="38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/>
    <xf numFmtId="0" fontId="37" fillId="0" borderId="2" xfId="0" applyFont="1" applyFill="1" applyBorder="1">
      <alignment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right" vertical="center"/>
    </xf>
    <xf numFmtId="0" fontId="38" fillId="0" borderId="8" xfId="0" applyFont="1" applyFill="1" applyBorder="1">
      <alignment vertical="center"/>
    </xf>
    <xf numFmtId="0" fontId="38" fillId="0" borderId="8" xfId="0" applyFont="1" applyFill="1" applyBorder="1" applyAlignment="1">
      <alignment horizontal="right" vertical="center"/>
    </xf>
    <xf numFmtId="0" fontId="37" fillId="0" borderId="0" xfId="0" applyFont="1" applyFill="1" applyBorder="1">
      <alignment vertical="center"/>
    </xf>
    <xf numFmtId="181" fontId="37" fillId="0" borderId="0" xfId="2" applyNumberFormat="1" applyFont="1" applyFill="1" applyBorder="1" applyAlignment="1">
      <alignment horizontal="right" vertical="center"/>
    </xf>
    <xf numFmtId="0" fontId="38" fillId="0" borderId="0" xfId="0" applyFont="1" applyFill="1" applyBorder="1">
      <alignment vertical="center"/>
    </xf>
    <xf numFmtId="43" fontId="0" fillId="0" borderId="0" xfId="0" applyNumberFormat="1" applyAlignment="1"/>
    <xf numFmtId="9" fontId="0" fillId="0" borderId="0" xfId="2" applyFont="1" applyAlignment="1"/>
    <xf numFmtId="0" fontId="38" fillId="0" borderId="2" xfId="0" applyFont="1" applyFill="1" applyBorder="1">
      <alignment vertical="center"/>
    </xf>
    <xf numFmtId="0" fontId="38" fillId="0" borderId="0" xfId="0" applyFont="1" applyFill="1">
      <alignment vertical="center"/>
    </xf>
    <xf numFmtId="43" fontId="38" fillId="0" borderId="0" xfId="1" applyFont="1" applyFill="1" applyAlignment="1">
      <alignment horizontal="right" vertical="center"/>
    </xf>
    <xf numFmtId="178" fontId="38" fillId="0" borderId="8" xfId="1" applyNumberFormat="1" applyFont="1" applyFill="1" applyBorder="1" applyAlignment="1">
      <alignment horizontal="center" vertical="center" wrapText="1"/>
    </xf>
    <xf numFmtId="181" fontId="37" fillId="0" borderId="0" xfId="2" applyNumberFormat="1" applyFont="1" applyFill="1" applyBorder="1">
      <alignment vertical="center"/>
    </xf>
    <xf numFmtId="178" fontId="38" fillId="0" borderId="0" xfId="1" applyNumberFormat="1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right" vertical="center"/>
    </xf>
    <xf numFmtId="178" fontId="37" fillId="0" borderId="0" xfId="0" applyNumberFormat="1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right" vertical="center"/>
    </xf>
    <xf numFmtId="178" fontId="38" fillId="0" borderId="2" xfId="1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right" vertical="center"/>
    </xf>
    <xf numFmtId="178" fontId="38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top" wrapText="1"/>
    </xf>
    <xf numFmtId="0" fontId="35" fillId="0" borderId="0" xfId="0" applyFont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41" fillId="0" borderId="1" xfId="0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2" fillId="14" borderId="1" xfId="0" applyFont="1" applyFill="1" applyBorder="1" applyAlignment="1">
      <alignment horizontal="center" vertical="center" wrapText="1"/>
    </xf>
    <xf numFmtId="0" fontId="34" fillId="14" borderId="1" xfId="0" applyFont="1" applyFill="1" applyBorder="1" applyAlignment="1">
      <alignment horizontal="center" vertical="center"/>
    </xf>
    <xf numFmtId="0" fontId="31" fillId="14" borderId="1" xfId="0" applyFont="1" applyFill="1" applyBorder="1" applyAlignment="1">
      <alignment horizontal="center"/>
    </xf>
    <xf numFmtId="0" fontId="31" fillId="14" borderId="5" xfId="0" applyFont="1" applyFill="1" applyBorder="1" applyAlignment="1">
      <alignment horizontal="center"/>
    </xf>
    <xf numFmtId="0" fontId="31" fillId="14" borderId="6" xfId="0" applyFont="1" applyFill="1" applyBorder="1" applyAlignment="1">
      <alignment horizontal="center"/>
    </xf>
    <xf numFmtId="0" fontId="31" fillId="14" borderId="7" xfId="0" applyFont="1" applyFill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5" fillId="0" borderId="2" xfId="0" applyFont="1" applyBorder="1" applyAlignment="1">
      <alignment horizontal="left" wrapText="1"/>
    </xf>
    <xf numFmtId="0" fontId="26" fillId="0" borderId="2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30" fillId="0" borderId="0" xfId="0" applyFont="1" applyAlignment="1">
      <alignment horizontal="left" wrapText="1"/>
    </xf>
    <xf numFmtId="0" fontId="23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3" fontId="8" fillId="0" borderId="0" xfId="1" applyFont="1" applyAlignment="1">
      <alignment horizontal="center" vertical="center"/>
    </xf>
    <xf numFmtId="43" fontId="9" fillId="0" borderId="1" xfId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</cellXfs>
  <cellStyles count="10">
    <cellStyle name="百分比" xfId="2" builtinId="5"/>
    <cellStyle name="百分比 2" xfId="3" xr:uid="{00000000-0005-0000-0000-00000D000000}"/>
    <cellStyle name="百分比 3" xfId="4" xr:uid="{00000000-0005-0000-0000-000032000000}"/>
    <cellStyle name="常规" xfId="0" builtinId="0"/>
    <cellStyle name="常规 2" xfId="5" xr:uid="{00000000-0005-0000-0000-000033000000}"/>
    <cellStyle name="常规 3" xfId="6" xr:uid="{00000000-0005-0000-0000-000034000000}"/>
    <cellStyle name="常规 5" xfId="8" xr:uid="{00000000-0005-0000-0000-000036000000}"/>
    <cellStyle name="千位分隔" xfId="1" builtinId="3"/>
    <cellStyle name="千位分隔 2" xfId="9" xr:uid="{00000000-0005-0000-0000-000037000000}"/>
    <cellStyle name="千位分隔 3" xfId="7" xr:uid="{00000000-0005-0000-0000-000035000000}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78;&#28023;&#37319;&#26085;\&#24494;&#30005;&#32593;&#20107;&#19994;&#37096;\&#36130;&#21153;\WeChat%20Files\wxid_bucnh6nakitk21\Files\&#31616;&#26131;_&#22320;&#38754;&#30005;&#31449;&#36130;&#21153;&#27169;&#22411;V1.0_201603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78;&#28023;&#37319;&#26085;\&#24494;&#30005;&#32593;&#20107;&#19994;&#37096;\&#36130;&#21153;\WeChat%20Files\wxid_bucnh6nakitk21\Files\&#31616;&#26131;_&#20648;&#33021;&#30005;&#31449;&#36130;&#21153;&#27169;&#22411;V1.0_201709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1.输入"/>
      <sheetName val="1.输入及假设"/>
      <sheetName val="2.1 汇总结论"/>
      <sheetName val="2.2 基本信息汇总"/>
      <sheetName val="3.1 投资估算"/>
      <sheetName val="3.2 环保及碳排放"/>
      <sheetName val="4.1 利润及利润分配表"/>
      <sheetName val="4.2 资产负债表"/>
      <sheetName val="4.4 现金流量表-check"/>
      <sheetName val="4.3 现金流量表"/>
      <sheetName val="5.1 方法"/>
      <sheetName val="5.2 定义"/>
      <sheetName val="5.3 不足"/>
      <sheetName val="5.4 版本更新"/>
      <sheetName val="6. 图"/>
      <sheetName val="可研=&gt;"/>
      <sheetName val="筹措"/>
      <sheetName val="成本"/>
      <sheetName val="损益"/>
      <sheetName val="销售"/>
      <sheetName val="折旧"/>
      <sheetName val="还款"/>
      <sheetName val="项目现金"/>
      <sheetName val="资本金现金"/>
      <sheetName val="财务计划"/>
      <sheetName val="资产负债"/>
      <sheetName val="指标"/>
      <sheetName val="税收"/>
    </sheetNames>
    <sheetDataSet>
      <sheetData sheetId="0"/>
      <sheetData sheetId="1"/>
      <sheetData sheetId="2">
        <row r="27">
          <cell r="Y27">
            <v>5.3900000000000003E-2</v>
          </cell>
          <cell r="Z27">
            <v>10</v>
          </cell>
        </row>
      </sheetData>
      <sheetData sheetId="3"/>
      <sheetData sheetId="4"/>
      <sheetData sheetId="5">
        <row r="93">
          <cell r="E93">
            <v>0</v>
          </cell>
        </row>
      </sheetData>
      <sheetData sheetId="6"/>
      <sheetData sheetId="7">
        <row r="69">
          <cell r="F69">
            <v>0</v>
          </cell>
        </row>
        <row r="70">
          <cell r="F70">
            <v>0</v>
          </cell>
        </row>
      </sheetData>
      <sheetData sheetId="8">
        <row r="39">
          <cell r="E39">
            <v>16560.768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1.输入"/>
      <sheetName val="1.输入及假设"/>
      <sheetName val="2.1 汇总结论"/>
      <sheetName val="2.2 基本信息汇总"/>
      <sheetName val="3.1 投资估算"/>
      <sheetName val="3.2 环保及碳排放"/>
      <sheetName val="4.1 利润及利润分配表"/>
      <sheetName val="4.2 资产负债表"/>
      <sheetName val="4.3 现金流量表"/>
      <sheetName val="4.4 现金流量表-check"/>
      <sheetName val="5.1 方法"/>
      <sheetName val="5.2 定义"/>
      <sheetName val="5.3 不足"/>
      <sheetName val="5.4 版本更新"/>
      <sheetName val="6. 图"/>
      <sheetName val="可研=&gt;"/>
      <sheetName val="筹措"/>
      <sheetName val="成本"/>
      <sheetName val="损益"/>
      <sheetName val="销售"/>
      <sheetName val="折旧"/>
      <sheetName val="还款"/>
      <sheetName val="项目现金"/>
      <sheetName val="资本金现金"/>
      <sheetName val="财务计划"/>
      <sheetName val="资产负债"/>
      <sheetName val="指标"/>
      <sheetName val="税收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>
        <row r="14">
          <cell r="G14">
            <v>0</v>
          </cell>
        </row>
      </sheetData>
      <sheetData sheetId="8"/>
      <sheetData sheetId="9">
        <row r="12">
          <cell r="D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C3" sqref="C3"/>
    </sheetView>
  </sheetViews>
  <sheetFormatPr defaultColWidth="9" defaultRowHeight="14.4"/>
  <cols>
    <col min="1" max="1" width="13" style="116" customWidth="1"/>
    <col min="2" max="2" width="31.44140625" style="116" customWidth="1"/>
    <col min="3" max="3" width="17.21875" style="116" customWidth="1"/>
    <col min="4" max="4" width="11" style="229" customWidth="1"/>
    <col min="5" max="5" width="15.33203125" customWidth="1"/>
    <col min="6" max="6" width="19.88671875" customWidth="1"/>
    <col min="7" max="7" width="10.77734375" customWidth="1"/>
    <col min="8" max="8" width="7" customWidth="1"/>
  </cols>
  <sheetData>
    <row r="1" spans="1:8" ht="25.8">
      <c r="A1" s="237" t="s">
        <v>0</v>
      </c>
      <c r="B1" s="237"/>
      <c r="C1" s="237"/>
      <c r="E1" s="230" t="s">
        <v>1</v>
      </c>
      <c r="F1" s="133"/>
      <c r="G1" s="133"/>
      <c r="H1" s="133"/>
    </row>
    <row r="2" spans="1:8">
      <c r="A2" s="165" t="s">
        <v>2</v>
      </c>
      <c r="B2" s="165" t="s">
        <v>3</v>
      </c>
      <c r="C2" s="165" t="s">
        <v>4</v>
      </c>
      <c r="E2" s="165" t="s">
        <v>2</v>
      </c>
      <c r="F2" s="231" t="s">
        <v>5</v>
      </c>
      <c r="G2" s="165" t="s">
        <v>4</v>
      </c>
      <c r="H2" s="5" t="s">
        <v>6</v>
      </c>
    </row>
    <row r="3" spans="1:8">
      <c r="A3" s="133">
        <v>1</v>
      </c>
      <c r="B3" s="181" t="s">
        <v>7</v>
      </c>
      <c r="C3" s="181">
        <f>变量!D15</f>
        <v>6000</v>
      </c>
      <c r="E3" s="133">
        <v>1</v>
      </c>
      <c r="F3" s="136" t="s">
        <v>8</v>
      </c>
      <c r="G3" s="133">
        <f>38.4</f>
        <v>38.4</v>
      </c>
      <c r="H3" s="136" t="s">
        <v>9</v>
      </c>
    </row>
    <row r="4" spans="1:8">
      <c r="A4" s="133">
        <v>2</v>
      </c>
      <c r="B4" s="232" t="s">
        <v>10</v>
      </c>
      <c r="C4" s="233">
        <f>变量!D13</f>
        <v>0.92500000000000004</v>
      </c>
      <c r="E4" s="133">
        <v>2</v>
      </c>
      <c r="F4" s="136" t="s">
        <v>11</v>
      </c>
      <c r="G4" s="133">
        <f>163*G3*2</f>
        <v>12518.4</v>
      </c>
      <c r="H4" s="136" t="s">
        <v>12</v>
      </c>
    </row>
    <row r="5" spans="1:8">
      <c r="A5" s="133">
        <v>3</v>
      </c>
      <c r="B5" s="234" t="s">
        <v>13</v>
      </c>
      <c r="C5" s="233">
        <v>0.9</v>
      </c>
      <c r="E5" s="133">
        <v>3</v>
      </c>
      <c r="F5" s="136" t="s">
        <v>14</v>
      </c>
      <c r="G5" s="133">
        <v>20</v>
      </c>
      <c r="H5" s="136" t="s">
        <v>15</v>
      </c>
    </row>
    <row r="6" spans="1:8">
      <c r="A6" s="133">
        <v>4</v>
      </c>
      <c r="B6" s="232" t="s">
        <v>16</v>
      </c>
      <c r="C6" s="181">
        <f>变量!D7</f>
        <v>1000</v>
      </c>
      <c r="E6" s="133">
        <v>4</v>
      </c>
      <c r="F6" s="136" t="s">
        <v>17</v>
      </c>
      <c r="G6" s="133">
        <f>G5*G3</f>
        <v>768</v>
      </c>
      <c r="H6" s="136" t="s">
        <v>9</v>
      </c>
    </row>
    <row r="7" spans="1:8">
      <c r="A7" s="133">
        <v>5</v>
      </c>
      <c r="B7" s="232" t="s">
        <v>18</v>
      </c>
      <c r="C7" s="235">
        <f>G7*12*变量!D2</f>
        <v>6008832</v>
      </c>
      <c r="E7" s="133">
        <v>5</v>
      </c>
      <c r="F7" s="136" t="s">
        <v>19</v>
      </c>
      <c r="G7" s="133">
        <f>G6*163*2</f>
        <v>250368</v>
      </c>
      <c r="H7" s="136" t="s">
        <v>12</v>
      </c>
    </row>
    <row r="8" spans="1:8">
      <c r="A8" s="133">
        <v>6</v>
      </c>
      <c r="B8" s="232" t="s">
        <v>20</v>
      </c>
      <c r="C8" s="236">
        <f>C7*C5</f>
        <v>5407948.7999999998</v>
      </c>
      <c r="E8" s="133">
        <v>6</v>
      </c>
      <c r="F8" s="136" t="s">
        <v>21</v>
      </c>
      <c r="G8" s="133">
        <v>20</v>
      </c>
      <c r="H8" s="136" t="s">
        <v>22</v>
      </c>
    </row>
    <row r="9" spans="1:8">
      <c r="A9" s="133">
        <v>7</v>
      </c>
      <c r="B9" s="133" t="s">
        <v>23</v>
      </c>
      <c r="C9" s="133">
        <f>0.2/6000</f>
        <v>3.3333333333333335E-5</v>
      </c>
      <c r="E9" s="133">
        <v>7</v>
      </c>
      <c r="F9" s="136" t="s">
        <v>24</v>
      </c>
      <c r="G9" s="133">
        <v>1</v>
      </c>
      <c r="H9" s="136" t="s">
        <v>22</v>
      </c>
    </row>
    <row r="10" spans="1:8">
      <c r="A10" s="133">
        <v>8</v>
      </c>
      <c r="B10" s="133" t="s">
        <v>25</v>
      </c>
      <c r="C10" s="133">
        <v>24</v>
      </c>
      <c r="E10" s="133">
        <v>8</v>
      </c>
      <c r="F10" s="136" t="s">
        <v>26</v>
      </c>
      <c r="G10" s="133"/>
      <c r="H10" s="136" t="s">
        <v>27</v>
      </c>
    </row>
    <row r="11" spans="1:8">
      <c r="A11" s="133">
        <v>9</v>
      </c>
      <c r="B11" s="133" t="s">
        <v>28</v>
      </c>
      <c r="C11" s="133">
        <v>3.2</v>
      </c>
      <c r="E11" s="133">
        <v>9</v>
      </c>
      <c r="F11" s="136" t="s">
        <v>29</v>
      </c>
      <c r="G11" s="133"/>
      <c r="H11" s="136" t="s">
        <v>27</v>
      </c>
    </row>
    <row r="12" spans="1:8">
      <c r="A12" s="133">
        <v>10</v>
      </c>
      <c r="B12" s="133" t="s">
        <v>30</v>
      </c>
      <c r="C12" s="133">
        <v>163</v>
      </c>
      <c r="E12" s="133">
        <v>10</v>
      </c>
      <c r="F12" s="136" t="s">
        <v>31</v>
      </c>
      <c r="G12" s="133"/>
      <c r="H12" s="136" t="s">
        <v>27</v>
      </c>
    </row>
  </sheetData>
  <mergeCells count="1">
    <mergeCell ref="A1:C1"/>
  </mergeCells>
  <phoneticPr fontId="42" type="noConversion"/>
  <pageMargins left="0.69930555555555596" right="0.69930555555555596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J24"/>
  <sheetViews>
    <sheetView zoomScale="85" zoomScaleNormal="85" workbookViewId="0">
      <selection activeCell="I11" sqref="I11"/>
    </sheetView>
  </sheetViews>
  <sheetFormatPr defaultColWidth="8.77734375" defaultRowHeight="14.4"/>
  <cols>
    <col min="1" max="2" width="8.77734375" style="116"/>
    <col min="3" max="3" width="26.44140625" style="116" customWidth="1"/>
    <col min="4" max="5" width="8.77734375" style="116"/>
    <col min="6" max="6" width="16.44140625" style="116" customWidth="1"/>
    <col min="7" max="16384" width="8.77734375" style="116"/>
  </cols>
  <sheetData>
    <row r="1" spans="1:6">
      <c r="A1" s="221" t="s">
        <v>2</v>
      </c>
      <c r="B1" s="221" t="s">
        <v>32</v>
      </c>
      <c r="C1" s="221" t="s">
        <v>33</v>
      </c>
      <c r="D1" s="221" t="s">
        <v>34</v>
      </c>
      <c r="E1" s="221" t="s">
        <v>6</v>
      </c>
      <c r="F1" s="221" t="s">
        <v>35</v>
      </c>
    </row>
    <row r="2" spans="1:6">
      <c r="A2" s="133">
        <v>1</v>
      </c>
      <c r="B2" s="240" t="s">
        <v>36</v>
      </c>
      <c r="C2" s="133" t="s">
        <v>37</v>
      </c>
      <c r="D2" s="263">
        <v>2</v>
      </c>
      <c r="E2" s="136" t="s">
        <v>15</v>
      </c>
      <c r="F2" s="136" t="s">
        <v>367</v>
      </c>
    </row>
    <row r="3" spans="1:6">
      <c r="A3" s="133">
        <v>2</v>
      </c>
      <c r="B3" s="241"/>
      <c r="C3" s="136" t="s">
        <v>38</v>
      </c>
      <c r="D3" s="133">
        <v>1.1000000000000001</v>
      </c>
      <c r="E3" s="136" t="s">
        <v>39</v>
      </c>
      <c r="F3" s="133"/>
    </row>
    <row r="4" spans="1:6">
      <c r="A4" s="133">
        <v>3</v>
      </c>
      <c r="B4" s="241"/>
      <c r="C4" s="133" t="s">
        <v>40</v>
      </c>
      <c r="D4" s="133">
        <v>0.13</v>
      </c>
      <c r="E4" s="136" t="s">
        <v>39</v>
      </c>
      <c r="F4" s="133"/>
    </row>
    <row r="5" spans="1:6" ht="15.6">
      <c r="A5" s="133">
        <v>4</v>
      </c>
      <c r="B5" s="241"/>
      <c r="C5" s="176" t="s">
        <v>41</v>
      </c>
      <c r="D5" s="133">
        <v>0.15</v>
      </c>
      <c r="E5" s="136" t="s">
        <v>39</v>
      </c>
      <c r="F5" s="222" t="s">
        <v>42</v>
      </c>
    </row>
    <row r="6" spans="1:6">
      <c r="A6" s="133">
        <v>5</v>
      </c>
      <c r="B6" s="241"/>
      <c r="C6" s="136" t="s">
        <v>43</v>
      </c>
      <c r="D6" s="133">
        <v>0</v>
      </c>
      <c r="E6" s="136" t="s">
        <v>44</v>
      </c>
      <c r="F6" s="133"/>
    </row>
    <row r="7" spans="1:6">
      <c r="A7" s="133">
        <v>6</v>
      </c>
      <c r="B7" s="241"/>
      <c r="C7" s="133" t="s">
        <v>45</v>
      </c>
      <c r="D7" s="263">
        <v>1000</v>
      </c>
      <c r="E7" s="136" t="s">
        <v>46</v>
      </c>
      <c r="F7" s="133"/>
    </row>
    <row r="8" spans="1:6">
      <c r="A8" s="133">
        <v>7</v>
      </c>
      <c r="B8" s="241"/>
      <c r="C8" s="133" t="s">
        <v>47</v>
      </c>
      <c r="D8" s="133">
        <v>200000</v>
      </c>
      <c r="E8" s="136" t="s">
        <v>48</v>
      </c>
      <c r="F8" s="133"/>
    </row>
    <row r="9" spans="1:6">
      <c r="A9" s="133">
        <v>8</v>
      </c>
      <c r="B9" s="241"/>
      <c r="C9" s="133" t="s">
        <v>49</v>
      </c>
      <c r="D9" s="133">
        <v>400000</v>
      </c>
      <c r="E9" s="136" t="s">
        <v>48</v>
      </c>
      <c r="F9" s="133"/>
    </row>
    <row r="10" spans="1:6">
      <c r="A10" s="133">
        <v>9</v>
      </c>
      <c r="B10" s="241"/>
      <c r="C10" s="223" t="s">
        <v>50</v>
      </c>
      <c r="D10" s="133">
        <v>0.01</v>
      </c>
      <c r="E10" s="136" t="s">
        <v>39</v>
      </c>
      <c r="F10" s="133"/>
    </row>
    <row r="11" spans="1:6">
      <c r="A11" s="133">
        <v>10</v>
      </c>
      <c r="B11" s="241"/>
      <c r="C11" s="223" t="s">
        <v>51</v>
      </c>
      <c r="D11" s="133">
        <v>0.02</v>
      </c>
      <c r="E11" s="136" t="s">
        <v>39</v>
      </c>
      <c r="F11" s="133"/>
    </row>
    <row r="12" spans="1:6">
      <c r="A12" s="133">
        <v>11</v>
      </c>
      <c r="B12" s="241"/>
      <c r="C12" s="223" t="s">
        <v>52</v>
      </c>
      <c r="D12" s="133">
        <v>0.1</v>
      </c>
      <c r="E12" s="136" t="s">
        <v>39</v>
      </c>
      <c r="F12" s="133"/>
    </row>
    <row r="13" spans="1:6">
      <c r="A13" s="133">
        <v>12</v>
      </c>
      <c r="B13" s="241"/>
      <c r="C13" s="223" t="s">
        <v>10</v>
      </c>
      <c r="D13" s="224">
        <v>0.92500000000000004</v>
      </c>
      <c r="E13" s="136" t="s">
        <v>53</v>
      </c>
      <c r="F13" s="133"/>
    </row>
    <row r="14" spans="1:6">
      <c r="A14" s="133">
        <v>13</v>
      </c>
      <c r="B14" s="241"/>
      <c r="C14" s="223" t="s">
        <v>54</v>
      </c>
      <c r="D14" s="225">
        <v>2</v>
      </c>
      <c r="E14" s="226" t="s">
        <v>55</v>
      </c>
      <c r="F14" s="133"/>
    </row>
    <row r="15" spans="1:6">
      <c r="A15" s="133">
        <v>14</v>
      </c>
      <c r="B15" s="242"/>
      <c r="C15" s="223" t="s">
        <v>56</v>
      </c>
      <c r="D15" s="225">
        <v>6000</v>
      </c>
      <c r="E15" s="226" t="s">
        <v>57</v>
      </c>
      <c r="F15" s="133"/>
    </row>
    <row r="16" spans="1:6">
      <c r="A16" s="133">
        <v>15</v>
      </c>
      <c r="B16" s="243" t="s">
        <v>58</v>
      </c>
      <c r="C16" s="180" t="s">
        <v>59</v>
      </c>
      <c r="D16" s="133">
        <v>0</v>
      </c>
      <c r="E16" s="136" t="s">
        <v>39</v>
      </c>
      <c r="F16" s="133"/>
    </row>
    <row r="17" spans="1:10">
      <c r="A17" s="133">
        <v>16</v>
      </c>
      <c r="B17" s="244"/>
      <c r="C17" s="227" t="s">
        <v>60</v>
      </c>
      <c r="D17" s="225"/>
      <c r="E17" s="226" t="s">
        <v>61</v>
      </c>
      <c r="F17" s="133"/>
    </row>
    <row r="18" spans="1:10">
      <c r="A18" s="133">
        <v>17</v>
      </c>
      <c r="B18" s="244"/>
      <c r="C18" s="180" t="s">
        <v>62</v>
      </c>
      <c r="D18" s="226">
        <f>1.0377</f>
        <v>1.0377000000000001</v>
      </c>
      <c r="E18" s="226" t="s">
        <v>61</v>
      </c>
      <c r="F18" s="133"/>
      <c r="H18" s="228"/>
    </row>
    <row r="19" spans="1:10">
      <c r="A19" s="133">
        <v>18</v>
      </c>
      <c r="B19" s="244"/>
      <c r="C19" s="180" t="s">
        <v>63</v>
      </c>
      <c r="D19" s="225">
        <v>0.61040000000000005</v>
      </c>
      <c r="E19" s="226" t="s">
        <v>61</v>
      </c>
      <c r="F19" s="133"/>
      <c r="H19" s="228"/>
    </row>
    <row r="20" spans="1:10">
      <c r="A20" s="133">
        <v>19</v>
      </c>
      <c r="B20" s="244"/>
      <c r="C20" s="180" t="s">
        <v>64</v>
      </c>
      <c r="D20" s="225">
        <v>0.23200000000000001</v>
      </c>
      <c r="E20" s="226" t="s">
        <v>61</v>
      </c>
      <c r="F20" s="133"/>
      <c r="I20" s="228" t="s">
        <v>65</v>
      </c>
      <c r="J20" s="228" t="s">
        <v>65</v>
      </c>
    </row>
    <row r="21" spans="1:10">
      <c r="A21" s="133">
        <v>20</v>
      </c>
      <c r="B21" s="244"/>
      <c r="C21" s="180" t="s">
        <v>66</v>
      </c>
      <c r="D21" s="225">
        <v>330</v>
      </c>
      <c r="E21" s="226" t="s">
        <v>67</v>
      </c>
      <c r="F21" s="133"/>
    </row>
    <row r="22" spans="1:10">
      <c r="A22" s="133">
        <v>21</v>
      </c>
      <c r="B22" s="245"/>
      <c r="C22" s="180" t="s">
        <v>68</v>
      </c>
      <c r="D22" s="133"/>
      <c r="E22" s="226" t="s">
        <v>39</v>
      </c>
      <c r="F22" s="222"/>
    </row>
    <row r="24" spans="1:10">
      <c r="A24" s="238" t="s">
        <v>69</v>
      </c>
      <c r="B24" s="239"/>
      <c r="C24" s="239"/>
      <c r="D24" s="239"/>
      <c r="E24" s="239"/>
      <c r="F24" s="239"/>
    </row>
  </sheetData>
  <mergeCells count="3">
    <mergeCell ref="A24:F24"/>
    <mergeCell ref="B2:B15"/>
    <mergeCell ref="B16:B22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4"/>
  <sheetViews>
    <sheetView topLeftCell="A7" workbookViewId="0">
      <selection activeCell="I10" sqref="I10"/>
    </sheetView>
  </sheetViews>
  <sheetFormatPr defaultColWidth="11" defaultRowHeight="14.4"/>
  <cols>
    <col min="1" max="1" width="6" style="115" customWidth="1"/>
    <col min="2" max="2" width="23.77734375" style="115" customWidth="1"/>
    <col min="3" max="3" width="17.21875" customWidth="1"/>
    <col min="4" max="4" width="21" customWidth="1"/>
    <col min="5" max="5" width="20.21875" customWidth="1"/>
    <col min="6" max="6" width="32.77734375" hidden="1" customWidth="1"/>
    <col min="7" max="7" width="16.77734375" style="116" customWidth="1"/>
    <col min="8" max="8" width="19.44140625" style="116" customWidth="1"/>
    <col min="9" max="9" width="12.77734375" style="115" customWidth="1"/>
    <col min="10" max="16384" width="11" style="115"/>
  </cols>
  <sheetData>
    <row r="1" spans="1:10">
      <c r="A1" s="246"/>
      <c r="B1" s="247"/>
      <c r="C1" s="247"/>
      <c r="D1" s="247"/>
      <c r="E1" s="247"/>
      <c r="F1" s="247"/>
      <c r="G1" s="247"/>
      <c r="H1" s="247"/>
    </row>
    <row r="2" spans="1:10">
      <c r="A2" s="165" t="s">
        <v>70</v>
      </c>
      <c r="B2" s="166" t="s">
        <v>71</v>
      </c>
      <c r="C2" s="167" t="s">
        <v>72</v>
      </c>
      <c r="D2" s="168" t="s">
        <v>73</v>
      </c>
      <c r="E2" s="134"/>
      <c r="F2" s="134"/>
      <c r="G2" s="133"/>
      <c r="H2" s="133"/>
    </row>
    <row r="3" spans="1:10">
      <c r="A3" s="168">
        <v>1.1000000000000001</v>
      </c>
      <c r="B3" s="169" t="s">
        <v>74</v>
      </c>
      <c r="C3" s="133">
        <f>变量!D22</f>
        <v>0</v>
      </c>
      <c r="D3" s="170">
        <f>C3*储能技术参数!C7</f>
        <v>0</v>
      </c>
      <c r="E3" s="134"/>
      <c r="F3" s="134"/>
      <c r="G3" s="133"/>
      <c r="H3" s="133"/>
    </row>
    <row r="4" spans="1:10">
      <c r="A4" s="165" t="s">
        <v>75</v>
      </c>
      <c r="B4" s="171" t="s">
        <v>76</v>
      </c>
      <c r="C4" s="172">
        <f>储能技术参数!C7</f>
        <v>6008832</v>
      </c>
      <c r="D4" s="5" t="s">
        <v>77</v>
      </c>
      <c r="E4" s="4"/>
      <c r="F4" s="4"/>
      <c r="G4" s="133"/>
      <c r="H4" s="133"/>
    </row>
    <row r="5" spans="1:10" customFormat="1" ht="15.6">
      <c r="A5" s="173" t="s">
        <v>78</v>
      </c>
      <c r="B5" s="173" t="s">
        <v>79</v>
      </c>
      <c r="C5" s="173" t="s">
        <v>34</v>
      </c>
      <c r="D5" s="173" t="s">
        <v>6</v>
      </c>
      <c r="E5" s="173" t="s">
        <v>35</v>
      </c>
      <c r="F5" s="173" t="s">
        <v>80</v>
      </c>
      <c r="G5" s="173" t="s">
        <v>72</v>
      </c>
      <c r="H5" s="173" t="s">
        <v>81</v>
      </c>
    </row>
    <row r="6" spans="1:10" customFormat="1" ht="15.6">
      <c r="A6" s="174">
        <v>1</v>
      </c>
      <c r="B6" s="248" t="s">
        <v>82</v>
      </c>
      <c r="C6" s="248"/>
      <c r="D6" s="248"/>
      <c r="E6" s="248"/>
      <c r="F6" s="174"/>
      <c r="G6" s="174"/>
      <c r="H6" s="175">
        <f>SUM(H7:H8)</f>
        <v>7390863.3600000003</v>
      </c>
      <c r="I6" s="2"/>
    </row>
    <row r="7" spans="1:10" customFormat="1" ht="21" customHeight="1">
      <c r="A7" s="133">
        <v>1.2</v>
      </c>
      <c r="B7" s="136" t="s">
        <v>83</v>
      </c>
      <c r="C7" s="133">
        <v>1</v>
      </c>
      <c r="D7" s="136" t="s">
        <v>22</v>
      </c>
      <c r="E7" s="138"/>
      <c r="F7" s="138" t="s">
        <v>84</v>
      </c>
      <c r="G7" s="164">
        <f>C4/C7*变量!D3</f>
        <v>6609715.2000000002</v>
      </c>
      <c r="H7" s="133">
        <f t="shared" ref="H7:H8" si="0">G7*C7</f>
        <v>6609715.2000000002</v>
      </c>
      <c r="I7" s="2"/>
    </row>
    <row r="8" spans="1:10" customFormat="1">
      <c r="A8" s="133">
        <v>1.3</v>
      </c>
      <c r="B8" s="136" t="s">
        <v>85</v>
      </c>
      <c r="C8" s="133">
        <v>1</v>
      </c>
      <c r="D8" s="136" t="s">
        <v>22</v>
      </c>
      <c r="E8" s="136"/>
      <c r="F8" s="138" t="s">
        <v>86</v>
      </c>
      <c r="G8" s="164">
        <f>C4/C8*变量!D4</f>
        <v>781148.16000000003</v>
      </c>
      <c r="H8" s="133">
        <f t="shared" si="0"/>
        <v>781148.16000000003</v>
      </c>
      <c r="J8" s="1"/>
    </row>
    <row r="9" spans="1:10" customFormat="1" ht="15" customHeight="1">
      <c r="A9" s="174">
        <v>2</v>
      </c>
      <c r="B9" s="248" t="s">
        <v>87</v>
      </c>
      <c r="C9" s="248"/>
      <c r="D9" s="248"/>
      <c r="E9" s="248"/>
      <c r="F9" s="174"/>
      <c r="G9" s="174"/>
      <c r="H9" s="175">
        <f>SUM(H10:H10)</f>
        <v>901324.79999999993</v>
      </c>
    </row>
    <row r="10" spans="1:10" customFormat="1" ht="15.6">
      <c r="A10" s="133">
        <v>2.1</v>
      </c>
      <c r="B10" s="176" t="s">
        <v>42</v>
      </c>
      <c r="C10" s="176">
        <f>变量!D2</f>
        <v>2</v>
      </c>
      <c r="D10" s="176" t="s">
        <v>22</v>
      </c>
      <c r="E10" s="176" t="s">
        <v>65</v>
      </c>
      <c r="F10" s="176" t="s">
        <v>86</v>
      </c>
      <c r="G10" s="164">
        <f>C4*变量!D5/C10</f>
        <v>450662.39999999997</v>
      </c>
      <c r="H10" s="133">
        <f>G10*C10</f>
        <v>901324.79999999993</v>
      </c>
    </row>
    <row r="11" spans="1:10" customFormat="1" ht="15.6">
      <c r="A11" s="174">
        <v>3</v>
      </c>
      <c r="B11" s="248" t="s">
        <v>88</v>
      </c>
      <c r="C11" s="248"/>
      <c r="D11" s="248"/>
      <c r="E11" s="248"/>
      <c r="F11" s="174"/>
      <c r="G11" s="174"/>
      <c r="H11" s="175">
        <f>SUM(H12:H12)</f>
        <v>0</v>
      </c>
    </row>
    <row r="12" spans="1:10" customFormat="1" ht="15.6">
      <c r="A12" s="133">
        <v>3.1</v>
      </c>
      <c r="B12" s="177" t="s">
        <v>43</v>
      </c>
      <c r="C12" s="176">
        <f>变量!D7</f>
        <v>1000</v>
      </c>
      <c r="D12" s="176" t="s">
        <v>46</v>
      </c>
      <c r="E12" s="176"/>
      <c r="F12" s="176" t="s">
        <v>86</v>
      </c>
      <c r="G12" s="133">
        <f>变量!D6</f>
        <v>0</v>
      </c>
      <c r="H12" s="133">
        <f>G12*C12</f>
        <v>0</v>
      </c>
    </row>
    <row r="13" spans="1:10" customFormat="1" ht="15.6">
      <c r="A13" s="174">
        <v>4</v>
      </c>
      <c r="B13" s="248" t="s">
        <v>89</v>
      </c>
      <c r="C13" s="248"/>
      <c r="D13" s="248"/>
      <c r="E13" s="248"/>
      <c r="F13" s="174"/>
      <c r="G13" s="174"/>
      <c r="H13" s="175">
        <f>H14</f>
        <v>200000</v>
      </c>
    </row>
    <row r="14" spans="1:10" customFormat="1" ht="15.6">
      <c r="A14" s="133">
        <v>4.0999999999999996</v>
      </c>
      <c r="B14" s="177" t="s">
        <v>90</v>
      </c>
      <c r="C14" s="176">
        <v>1</v>
      </c>
      <c r="D14" s="176" t="s">
        <v>22</v>
      </c>
      <c r="E14" s="138"/>
      <c r="F14" s="138" t="s">
        <v>86</v>
      </c>
      <c r="G14" s="133">
        <f>变量!D8</f>
        <v>200000</v>
      </c>
      <c r="H14" s="133">
        <f>G14*C14</f>
        <v>200000</v>
      </c>
    </row>
    <row r="15" spans="1:10" customFormat="1" ht="15.6">
      <c r="A15" s="174">
        <v>5</v>
      </c>
      <c r="B15" s="248" t="s">
        <v>91</v>
      </c>
      <c r="C15" s="248"/>
      <c r="D15" s="248"/>
      <c r="E15" s="248"/>
      <c r="F15" s="174"/>
      <c r="G15" s="174"/>
      <c r="H15" s="174">
        <f>SUM(H16:H16)</f>
        <v>400000</v>
      </c>
    </row>
    <row r="16" spans="1:10" customFormat="1" ht="15.6">
      <c r="A16" s="133">
        <v>5.4</v>
      </c>
      <c r="B16" s="177" t="s">
        <v>92</v>
      </c>
      <c r="C16" s="176">
        <v>1</v>
      </c>
      <c r="D16" s="176" t="s">
        <v>93</v>
      </c>
      <c r="E16" s="176"/>
      <c r="F16" s="176" t="s">
        <v>86</v>
      </c>
      <c r="G16" s="133">
        <f>变量!D9</f>
        <v>400000</v>
      </c>
      <c r="H16" s="133">
        <f t="shared" ref="H16" si="1">G16</f>
        <v>400000</v>
      </c>
    </row>
    <row r="17" spans="1:9">
      <c r="A17" s="178">
        <v>6</v>
      </c>
      <c r="B17" s="249" t="s">
        <v>94</v>
      </c>
      <c r="C17" s="249"/>
      <c r="D17" s="249"/>
      <c r="E17" s="249"/>
      <c r="F17" s="179"/>
      <c r="G17" s="180"/>
      <c r="H17" s="179">
        <f>SUM(H18:H19)</f>
        <v>180264.95999999999</v>
      </c>
      <c r="I17" s="220"/>
    </row>
    <row r="18" spans="1:9" ht="15.6">
      <c r="A18" s="181">
        <v>6.1</v>
      </c>
      <c r="B18" s="181" t="s">
        <v>50</v>
      </c>
      <c r="C18" s="182">
        <v>1</v>
      </c>
      <c r="D18" s="182" t="s">
        <v>93</v>
      </c>
      <c r="E18" s="181"/>
      <c r="F18" s="183" t="s">
        <v>86</v>
      </c>
      <c r="G18" s="184">
        <f>C4*变量!D10</f>
        <v>60088.32</v>
      </c>
      <c r="H18" s="181">
        <f>G18*C18</f>
        <v>60088.32</v>
      </c>
      <c r="I18" s="220"/>
    </row>
    <row r="19" spans="1:9" ht="15.6">
      <c r="A19" s="181">
        <v>6.2</v>
      </c>
      <c r="B19" s="181" t="s">
        <v>51</v>
      </c>
      <c r="C19" s="182">
        <v>1</v>
      </c>
      <c r="D19" s="182" t="s">
        <v>93</v>
      </c>
      <c r="E19" s="181"/>
      <c r="F19" s="183" t="s">
        <v>86</v>
      </c>
      <c r="G19" s="184">
        <f>C4*变量!D11</f>
        <v>120176.64</v>
      </c>
      <c r="H19" s="181">
        <f>G19*C19</f>
        <v>120176.64</v>
      </c>
      <c r="I19" s="220"/>
    </row>
    <row r="20" spans="1:9">
      <c r="A20" s="178">
        <v>7</v>
      </c>
      <c r="B20" s="250" t="s">
        <v>59</v>
      </c>
      <c r="C20" s="250"/>
      <c r="D20" s="250"/>
      <c r="E20" s="250"/>
      <c r="F20" s="185"/>
      <c r="G20" s="180"/>
      <c r="H20" s="179">
        <f>H21</f>
        <v>0</v>
      </c>
      <c r="I20" s="220"/>
    </row>
    <row r="21" spans="1:9" ht="15.6">
      <c r="A21" s="181">
        <v>7.1</v>
      </c>
      <c r="B21" s="181" t="s">
        <v>59</v>
      </c>
      <c r="C21" s="176">
        <v>1</v>
      </c>
      <c r="D21" s="183" t="s">
        <v>93</v>
      </c>
      <c r="E21" s="186"/>
      <c r="F21" s="181"/>
      <c r="G21" s="184">
        <f>C4*变量!D16</f>
        <v>0</v>
      </c>
      <c r="H21" s="181">
        <f>G21*C21</f>
        <v>0</v>
      </c>
      <c r="I21" s="220"/>
    </row>
    <row r="22" spans="1:9">
      <c r="A22" s="179">
        <v>8</v>
      </c>
      <c r="B22" s="251" t="s">
        <v>95</v>
      </c>
      <c r="C22" s="252"/>
      <c r="D22" s="252"/>
      <c r="E22" s="253"/>
      <c r="F22" s="185"/>
      <c r="G22" s="187"/>
      <c r="H22" s="175">
        <f>H23</f>
        <v>600883.20000000007</v>
      </c>
    </row>
    <row r="23" spans="1:9" ht="15.6">
      <c r="A23" s="188">
        <v>8.1</v>
      </c>
      <c r="B23" s="181" t="s">
        <v>52</v>
      </c>
      <c r="C23" s="176">
        <v>1</v>
      </c>
      <c r="D23" s="134"/>
      <c r="E23" s="183"/>
      <c r="F23" s="183" t="s">
        <v>86</v>
      </c>
      <c r="G23" s="164">
        <f>C4*变量!D12</f>
        <v>600883.20000000007</v>
      </c>
      <c r="H23" s="133">
        <f>G23*C23</f>
        <v>600883.20000000007</v>
      </c>
    </row>
    <row r="24" spans="1:9">
      <c r="A24" s="179">
        <v>9</v>
      </c>
      <c r="B24" s="250" t="s">
        <v>96</v>
      </c>
      <c r="C24" s="250"/>
      <c r="D24" s="250"/>
      <c r="E24" s="250"/>
      <c r="F24" s="185"/>
      <c r="G24" s="187"/>
      <c r="H24" s="170">
        <f>H6+H9+H11+H13+H15+H17+H22+H20</f>
        <v>9673336.3200000003</v>
      </c>
    </row>
    <row r="25" spans="1:9">
      <c r="A25" s="189" t="s">
        <v>97</v>
      </c>
      <c r="B25" s="190" t="s">
        <v>98</v>
      </c>
      <c r="C25" s="115"/>
      <c r="D25" s="115"/>
      <c r="E25" s="115"/>
      <c r="F25" s="115"/>
    </row>
    <row r="26" spans="1:9">
      <c r="B26" s="191" t="s">
        <v>5</v>
      </c>
      <c r="C26" s="115" t="s">
        <v>34</v>
      </c>
      <c r="D26" s="115" t="s">
        <v>6</v>
      </c>
      <c r="E26" s="136" t="s">
        <v>99</v>
      </c>
      <c r="F26" s="192"/>
    </row>
    <row r="27" spans="1:9">
      <c r="A27" s="115">
        <v>1</v>
      </c>
      <c r="B27" s="190" t="s">
        <v>100</v>
      </c>
      <c r="C27" s="193">
        <f>H24+D3</f>
        <v>9673336.3200000003</v>
      </c>
      <c r="D27" s="115" t="s">
        <v>101</v>
      </c>
      <c r="E27" s="133">
        <f>C27/C4</f>
        <v>1.6098530163599183</v>
      </c>
      <c r="F27" s="149"/>
    </row>
    <row r="28" spans="1:9">
      <c r="B28" s="191" t="s">
        <v>102</v>
      </c>
      <c r="C28" s="193"/>
      <c r="D28" s="115"/>
      <c r="E28" s="115"/>
      <c r="F28" s="115"/>
    </row>
    <row r="29" spans="1:9" ht="15">
      <c r="B29" s="194" t="s">
        <v>103</v>
      </c>
      <c r="C29" s="193">
        <f>(H24-H22-H20-H17)/(1+0.13)*0.13+H22/(1+1.09)*0.09+(H17+D3)/(1+1.06)*1.06</f>
        <v>1141628.149027223</v>
      </c>
      <c r="D29" s="115" t="s">
        <v>101</v>
      </c>
      <c r="E29" s="115"/>
      <c r="F29" s="115"/>
    </row>
    <row r="30" spans="1:9" ht="15">
      <c r="B30" s="194" t="s">
        <v>104</v>
      </c>
      <c r="C30" s="193"/>
      <c r="D30" s="115" t="s">
        <v>101</v>
      </c>
      <c r="E30" s="115"/>
      <c r="F30" s="115"/>
    </row>
    <row r="31" spans="1:9" ht="15">
      <c r="B31" s="194" t="s">
        <v>105</v>
      </c>
      <c r="C31" s="193">
        <f>+C27-C29+C30</f>
        <v>8531708.1709727775</v>
      </c>
      <c r="D31" s="115" t="s">
        <v>101</v>
      </c>
      <c r="E31" s="115"/>
      <c r="F31" s="115"/>
    </row>
    <row r="32" spans="1:9" ht="15.6">
      <c r="A32" s="115">
        <v>2</v>
      </c>
      <c r="B32" s="195" t="s">
        <v>106</v>
      </c>
      <c r="C32" s="193">
        <f>C27</f>
        <v>9673336.3200000003</v>
      </c>
      <c r="D32" s="115" t="s">
        <v>101</v>
      </c>
      <c r="E32" s="115"/>
      <c r="F32" s="115"/>
    </row>
    <row r="33" spans="1:6">
      <c r="B33" s="191" t="s">
        <v>102</v>
      </c>
      <c r="C33" s="193"/>
      <c r="D33" s="115"/>
      <c r="E33" s="115"/>
      <c r="F33" s="115"/>
    </row>
    <row r="34" spans="1:6" ht="15">
      <c r="B34" s="194" t="s">
        <v>103</v>
      </c>
      <c r="C34" s="193">
        <f>C29</f>
        <v>1141628.149027223</v>
      </c>
      <c r="D34" s="115" t="s">
        <v>101</v>
      </c>
      <c r="E34" s="115"/>
      <c r="F34" s="115"/>
    </row>
    <row r="35" spans="1:6" ht="15">
      <c r="B35" s="194" t="s">
        <v>104</v>
      </c>
      <c r="C35" s="193"/>
      <c r="D35" s="115" t="s">
        <v>101</v>
      </c>
      <c r="E35" s="115"/>
      <c r="F35" s="115"/>
    </row>
    <row r="36" spans="1:6" ht="15">
      <c r="B36" s="194" t="s">
        <v>105</v>
      </c>
      <c r="C36" s="193">
        <f>C31</f>
        <v>8531708.1709727775</v>
      </c>
      <c r="D36" s="115" t="s">
        <v>101</v>
      </c>
      <c r="E36" s="115"/>
      <c r="F36" s="115"/>
    </row>
    <row r="37" spans="1:6" ht="15.6">
      <c r="A37" s="115">
        <v>3</v>
      </c>
      <c r="B37" s="195" t="s">
        <v>107</v>
      </c>
      <c r="C37" s="193"/>
      <c r="D37" s="115" t="s">
        <v>39</v>
      </c>
      <c r="E37" s="115"/>
      <c r="F37" s="115"/>
    </row>
    <row r="38" spans="1:6" ht="15">
      <c r="B38" s="194" t="s">
        <v>108</v>
      </c>
      <c r="C38" s="193">
        <f>储能技术参数!C7*0.005</f>
        <v>30044.16</v>
      </c>
      <c r="D38" s="115" t="s">
        <v>101</v>
      </c>
      <c r="E38" s="115"/>
      <c r="F38" s="115"/>
    </row>
    <row r="39" spans="1:6" ht="15">
      <c r="B39" s="194" t="s">
        <v>109</v>
      </c>
      <c r="C39" s="196">
        <v>0.02</v>
      </c>
      <c r="D39" s="115"/>
      <c r="E39" s="115"/>
      <c r="F39" s="115"/>
    </row>
    <row r="40" spans="1:6">
      <c r="A40" s="189" t="s">
        <v>110</v>
      </c>
      <c r="B40" s="190" t="s">
        <v>111</v>
      </c>
      <c r="C40" s="115"/>
      <c r="D40" s="115"/>
      <c r="E40" s="115"/>
      <c r="F40" s="115"/>
    </row>
    <row r="41" spans="1:6" ht="15">
      <c r="B41" s="197" t="s">
        <v>112</v>
      </c>
      <c r="C41" s="198" t="s">
        <v>34</v>
      </c>
      <c r="D41" s="199" t="s">
        <v>6</v>
      </c>
      <c r="E41" s="115"/>
      <c r="F41" s="115"/>
    </row>
    <row r="42" spans="1:6" ht="15.6">
      <c r="A42" s="115">
        <v>1</v>
      </c>
      <c r="B42" s="200" t="s">
        <v>113</v>
      </c>
      <c r="C42" s="193">
        <f>C43*C27</f>
        <v>9673336.3200000003</v>
      </c>
      <c r="D42" s="201" t="s">
        <v>101</v>
      </c>
      <c r="E42" s="115"/>
      <c r="F42" s="115"/>
    </row>
    <row r="43" spans="1:6" ht="15">
      <c r="B43" s="202" t="s">
        <v>114</v>
      </c>
      <c r="C43" s="196">
        <v>1</v>
      </c>
      <c r="D43" s="203" t="s">
        <v>53</v>
      </c>
      <c r="E43" s="115"/>
      <c r="F43" s="115"/>
    </row>
    <row r="44" spans="1:6" ht="15.6">
      <c r="A44" s="115">
        <v>2</v>
      </c>
      <c r="B44" s="204" t="s">
        <v>115</v>
      </c>
      <c r="C44" s="205">
        <f>C45*C27</f>
        <v>0</v>
      </c>
      <c r="D44" s="201" t="s">
        <v>101</v>
      </c>
      <c r="E44" s="115"/>
      <c r="F44" s="115"/>
    </row>
    <row r="45" spans="1:6" ht="15">
      <c r="B45" s="202" t="s">
        <v>116</v>
      </c>
      <c r="C45" s="206">
        <f>1-C43</f>
        <v>0</v>
      </c>
      <c r="D45" s="203" t="s">
        <v>53</v>
      </c>
      <c r="E45" s="115"/>
      <c r="F45" s="115"/>
    </row>
    <row r="46" spans="1:6" ht="15.6">
      <c r="A46" s="115">
        <v>3</v>
      </c>
      <c r="B46" s="204" t="s">
        <v>103</v>
      </c>
      <c r="C46" s="193">
        <f>C29</f>
        <v>1141628.149027223</v>
      </c>
      <c r="D46" s="201" t="s">
        <v>101</v>
      </c>
      <c r="E46" s="115"/>
      <c r="F46" s="115"/>
    </row>
    <row r="47" spans="1:6" ht="15.6">
      <c r="A47" s="115">
        <v>4</v>
      </c>
      <c r="B47" s="204" t="s">
        <v>104</v>
      </c>
      <c r="C47" s="193"/>
      <c r="D47" s="201" t="s">
        <v>101</v>
      </c>
      <c r="E47" s="115"/>
      <c r="F47" s="115"/>
    </row>
    <row r="48" spans="1:6" ht="15.6">
      <c r="A48" s="115">
        <v>5</v>
      </c>
      <c r="B48" s="207" t="s">
        <v>117</v>
      </c>
      <c r="C48" s="193">
        <f>C42+C44-C46+C47</f>
        <v>8531708.1709727775</v>
      </c>
      <c r="D48" s="201" t="s">
        <v>101</v>
      </c>
      <c r="E48" s="115"/>
      <c r="F48" s="115"/>
    </row>
    <row r="49" spans="1:6" ht="15.6">
      <c r="A49" s="115">
        <v>6</v>
      </c>
      <c r="B49" s="208" t="s">
        <v>118</v>
      </c>
      <c r="C49" s="209">
        <f>C48+C46</f>
        <v>9673336.3200000003</v>
      </c>
      <c r="D49" s="201" t="s">
        <v>101</v>
      </c>
      <c r="E49" s="115"/>
      <c r="F49" s="115"/>
    </row>
    <row r="50" spans="1:6">
      <c r="A50" s="189" t="s">
        <v>119</v>
      </c>
      <c r="B50" s="190" t="s">
        <v>120</v>
      </c>
    </row>
    <row r="51" spans="1:6" ht="15">
      <c r="B51" s="197" t="s">
        <v>112</v>
      </c>
      <c r="C51" s="198" t="s">
        <v>34</v>
      </c>
      <c r="D51" s="199" t="s">
        <v>6</v>
      </c>
    </row>
    <row r="52" spans="1:6" ht="15.6">
      <c r="A52" s="115">
        <v>1</v>
      </c>
      <c r="B52" s="200" t="s">
        <v>113</v>
      </c>
      <c r="C52" s="210"/>
      <c r="D52" s="201" t="s">
        <v>101</v>
      </c>
    </row>
    <row r="53" spans="1:6" ht="15">
      <c r="B53" s="202" t="s">
        <v>114</v>
      </c>
      <c r="C53" s="211">
        <v>1</v>
      </c>
      <c r="D53" s="203" t="s">
        <v>53</v>
      </c>
    </row>
    <row r="54" spans="1:6" ht="15.6">
      <c r="A54" s="115">
        <v>2</v>
      </c>
      <c r="B54" s="204" t="s">
        <v>121</v>
      </c>
      <c r="C54" s="212"/>
      <c r="D54" s="213" t="s">
        <v>101</v>
      </c>
    </row>
    <row r="55" spans="1:6" ht="15">
      <c r="B55" s="202" t="s">
        <v>116</v>
      </c>
      <c r="C55" s="211">
        <f>1-C53</f>
        <v>0</v>
      </c>
      <c r="D55" s="203" t="s">
        <v>53</v>
      </c>
    </row>
    <row r="56" spans="1:6" ht="15.6">
      <c r="A56" s="115">
        <v>3</v>
      </c>
      <c r="B56" s="204" t="s">
        <v>103</v>
      </c>
      <c r="C56" s="212"/>
      <c r="D56" s="213" t="s">
        <v>101</v>
      </c>
    </row>
    <row r="57" spans="1:6" ht="15">
      <c r="B57" s="194" t="s">
        <v>122</v>
      </c>
      <c r="C57" s="214">
        <f t="shared" ref="C57:C58" si="2">C47</f>
        <v>0</v>
      </c>
      <c r="D57" s="215" t="s">
        <v>101</v>
      </c>
    </row>
    <row r="58" spans="1:6" ht="15.6">
      <c r="A58" s="115">
        <v>4</v>
      </c>
      <c r="B58" s="207" t="s">
        <v>117</v>
      </c>
      <c r="C58" s="216">
        <f t="shared" si="2"/>
        <v>8531708.1709727775</v>
      </c>
      <c r="D58" s="217" t="s">
        <v>101</v>
      </c>
    </row>
    <row r="59" spans="1:6" ht="15.6">
      <c r="A59" s="115">
        <v>5</v>
      </c>
      <c r="B59" s="207" t="s">
        <v>123</v>
      </c>
      <c r="C59" s="216">
        <f>C60-C49</f>
        <v>0</v>
      </c>
      <c r="D59" s="217" t="s">
        <v>101</v>
      </c>
    </row>
    <row r="60" spans="1:6" ht="15.6">
      <c r="A60" s="115">
        <v>6</v>
      </c>
      <c r="B60" s="204" t="s">
        <v>118</v>
      </c>
      <c r="C60" s="218">
        <f>C49</f>
        <v>9673336.3200000003</v>
      </c>
      <c r="D60" s="213" t="s">
        <v>101</v>
      </c>
    </row>
    <row r="63" spans="1:6" ht="21" customHeight="1"/>
    <row r="64" spans="1:6" ht="42" customHeight="1">
      <c r="B64" s="219"/>
    </row>
  </sheetData>
  <mergeCells count="10">
    <mergeCell ref="B15:E15"/>
    <mergeCell ref="B17:E17"/>
    <mergeCell ref="B20:E20"/>
    <mergeCell ref="B22:E22"/>
    <mergeCell ref="B24:E24"/>
    <mergeCell ref="A1:H1"/>
    <mergeCell ref="B6:E6"/>
    <mergeCell ref="B9:E9"/>
    <mergeCell ref="B11:E11"/>
    <mergeCell ref="B13:E13"/>
  </mergeCells>
  <phoneticPr fontId="42" type="noConversion"/>
  <pageMargins left="0.69930555555555596" right="0.69930555555555596" top="0.75" bottom="0.75" header="0.3" footer="0.3"/>
  <pageSetup paperSize="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77"/>
  <sheetViews>
    <sheetView topLeftCell="A10" zoomScaleNormal="100" workbookViewId="0">
      <selection activeCell="G8" sqref="G8"/>
    </sheetView>
  </sheetViews>
  <sheetFormatPr defaultColWidth="10.88671875" defaultRowHeight="14.4"/>
  <cols>
    <col min="1" max="1" width="10.88671875" style="115"/>
    <col min="2" max="2" width="31.21875" style="114" customWidth="1"/>
    <col min="3" max="3" width="22.109375" style="116" customWidth="1"/>
    <col min="4" max="4" width="21.77734375" style="116" customWidth="1"/>
    <col min="5" max="5" width="18.77734375" style="116" customWidth="1"/>
    <col min="6" max="6" width="22" style="115" customWidth="1"/>
    <col min="7" max="7" width="18.6640625" style="115" customWidth="1"/>
    <col min="8" max="8" width="16.109375" style="115" customWidth="1"/>
    <col min="9" max="16384" width="10.88671875" style="115"/>
  </cols>
  <sheetData>
    <row r="1" spans="2:7" ht="25.8">
      <c r="B1" s="254" t="s">
        <v>124</v>
      </c>
      <c r="C1" s="254"/>
      <c r="D1" s="254"/>
      <c r="E1" s="254"/>
    </row>
    <row r="2" spans="2:7" ht="15.6">
      <c r="B2" s="117" t="s">
        <v>125</v>
      </c>
      <c r="C2" s="118"/>
      <c r="D2" s="118"/>
      <c r="E2" s="118"/>
    </row>
    <row r="3" spans="2:7" ht="15.6">
      <c r="B3" s="117"/>
    </row>
    <row r="4" spans="2:7" ht="15.6">
      <c r="B4" s="259" t="s">
        <v>126</v>
      </c>
      <c r="C4" s="120" t="s">
        <v>127</v>
      </c>
      <c r="D4" s="120">
        <f>C9-D9</f>
        <v>0.42730000000000001</v>
      </c>
      <c r="E4" s="120" t="s">
        <v>128</v>
      </c>
      <c r="F4" s="121">
        <f>C9-E9</f>
        <v>0.80570000000000008</v>
      </c>
      <c r="G4" s="122"/>
    </row>
    <row r="5" spans="2:7" ht="15.6">
      <c r="B5" s="259"/>
      <c r="C5" s="123" t="s">
        <v>129</v>
      </c>
      <c r="D5" s="123" t="s">
        <v>130</v>
      </c>
      <c r="E5" s="123" t="s">
        <v>131</v>
      </c>
      <c r="F5" s="124" t="s">
        <v>132</v>
      </c>
    </row>
    <row r="6" spans="2:7" ht="15.6">
      <c r="B6" s="125"/>
      <c r="C6" s="125"/>
      <c r="D6" s="125"/>
      <c r="E6" s="125"/>
    </row>
    <row r="7" spans="2:7" ht="15.6">
      <c r="B7" s="125"/>
      <c r="C7" s="125"/>
      <c r="D7" s="125"/>
      <c r="E7" s="125"/>
    </row>
    <row r="8" spans="2:7" ht="15.6">
      <c r="B8" s="125"/>
      <c r="C8" s="126"/>
      <c r="D8" s="125"/>
      <c r="E8" s="125"/>
      <c r="F8" s="127"/>
    </row>
    <row r="9" spans="2:7" ht="15.6">
      <c r="B9" s="119" t="s">
        <v>133</v>
      </c>
      <c r="C9" s="125">
        <f>变量!D18-变量!D17</f>
        <v>1.0377000000000001</v>
      </c>
      <c r="D9" s="125">
        <f>变量!D19</f>
        <v>0.61040000000000005</v>
      </c>
      <c r="E9" s="125">
        <f>变量!D20</f>
        <v>0.23200000000000001</v>
      </c>
      <c r="F9" s="128">
        <v>1.2970999999999999</v>
      </c>
      <c r="G9" s="129"/>
    </row>
    <row r="10" spans="2:7" ht="15.6">
      <c r="B10" s="119"/>
      <c r="C10" s="125"/>
      <c r="D10" s="125"/>
      <c r="E10" s="125"/>
      <c r="F10" s="128"/>
      <c r="G10" s="129"/>
    </row>
    <row r="11" spans="2:7" ht="15.75" customHeight="1">
      <c r="B11" s="125" t="s">
        <v>134</v>
      </c>
      <c r="C11" s="125">
        <f>变量!D14</f>
        <v>2</v>
      </c>
      <c r="D11" s="125"/>
      <c r="E11" s="125"/>
    </row>
    <row r="12" spans="2:7" ht="15.75" customHeight="1"/>
    <row r="13" spans="2:7" ht="15.6">
      <c r="B13" s="255" t="s">
        <v>135</v>
      </c>
      <c r="C13" s="256"/>
      <c r="D13" s="256"/>
      <c r="E13" s="256"/>
    </row>
    <row r="14" spans="2:7" ht="16.2">
      <c r="B14" s="130"/>
      <c r="C14" s="131"/>
      <c r="D14" s="131"/>
      <c r="E14" s="132"/>
    </row>
    <row r="15" spans="2:7" ht="15.6">
      <c r="B15" s="125" t="s">
        <v>136</v>
      </c>
      <c r="C15" s="133">
        <f>储能技术参数!C8/1000</f>
        <v>5407.9488000000001</v>
      </c>
      <c r="D15" s="133" t="s">
        <v>137</v>
      </c>
      <c r="E15" s="133"/>
      <c r="F15" s="134"/>
      <c r="G15" s="135"/>
    </row>
    <row r="16" spans="2:7" ht="15.6">
      <c r="B16" s="125" t="s">
        <v>138</v>
      </c>
      <c r="C16" s="125" t="s">
        <v>139</v>
      </c>
      <c r="D16" s="136">
        <v>0</v>
      </c>
      <c r="E16" s="125" t="s">
        <v>140</v>
      </c>
      <c r="F16" s="125"/>
      <c r="G16" s="137"/>
    </row>
    <row r="17" spans="2:7" ht="15.6">
      <c r="B17" s="125" t="s">
        <v>141</v>
      </c>
      <c r="C17" s="133">
        <f>C15/储能技术参数!C4</f>
        <v>5846.4311351351353</v>
      </c>
      <c r="D17" s="133">
        <v>0</v>
      </c>
      <c r="E17" s="133">
        <f>C17</f>
        <v>5846.4311351351353</v>
      </c>
      <c r="F17" s="134">
        <v>0</v>
      </c>
      <c r="G17" s="135">
        <v>0</v>
      </c>
    </row>
    <row r="18" spans="2:7" ht="15.6">
      <c r="B18" s="126" t="s">
        <v>142</v>
      </c>
      <c r="C18" s="133">
        <f>C17*E9</f>
        <v>1356.3720233513513</v>
      </c>
      <c r="D18" s="133">
        <f>D17*E9</f>
        <v>0</v>
      </c>
      <c r="E18" s="133">
        <f>E17*D9</f>
        <v>3568.6615648864868</v>
      </c>
      <c r="F18" s="134">
        <f>F17*D9</f>
        <v>0</v>
      </c>
      <c r="G18" s="135">
        <f>G17*D9</f>
        <v>0</v>
      </c>
    </row>
    <row r="19" spans="2:7" ht="15.6">
      <c r="B19" s="119" t="s">
        <v>143</v>
      </c>
      <c r="C19" s="125"/>
      <c r="D19" s="125" t="s">
        <v>144</v>
      </c>
      <c r="E19" s="136"/>
      <c r="F19" s="125" t="s">
        <v>145</v>
      </c>
      <c r="G19" s="137"/>
    </row>
    <row r="20" spans="2:7" ht="15.6">
      <c r="B20" s="125" t="s">
        <v>146</v>
      </c>
      <c r="C20" s="133">
        <f>D17*0.9</f>
        <v>0</v>
      </c>
      <c r="D20" s="133">
        <f>C15*0.925</f>
        <v>5002.3526400000001</v>
      </c>
      <c r="E20" s="133">
        <f>F17*0.9</f>
        <v>0</v>
      </c>
      <c r="F20" s="134">
        <f>C15*0.925</f>
        <v>5002.3526400000001</v>
      </c>
      <c r="G20" s="135">
        <f>G17*0.9</f>
        <v>0</v>
      </c>
    </row>
    <row r="21" spans="2:7" s="114" customFormat="1" ht="15.6">
      <c r="B21" s="125" t="s">
        <v>147</v>
      </c>
      <c r="C21" s="138"/>
      <c r="D21" s="138" t="s">
        <v>148</v>
      </c>
      <c r="E21" s="138"/>
      <c r="F21" s="139" t="s">
        <v>148</v>
      </c>
      <c r="G21" s="140"/>
    </row>
    <row r="22" spans="2:7">
      <c r="B22" s="141" t="s">
        <v>149</v>
      </c>
      <c r="C22" s="133">
        <f>C20*(E9+F9)</f>
        <v>0</v>
      </c>
      <c r="D22" s="133">
        <f>D20*(C9)</f>
        <v>5190.941334528</v>
      </c>
      <c r="E22" s="133"/>
      <c r="F22" s="120">
        <f>F20*(C9)</f>
        <v>5190.941334528</v>
      </c>
      <c r="G22" s="135">
        <f>G20*(D9+F9)</f>
        <v>0</v>
      </c>
    </row>
    <row r="23" spans="2:7" s="114" customFormat="1" ht="15.6">
      <c r="B23" s="119" t="s">
        <v>150</v>
      </c>
      <c r="C23" s="138"/>
      <c r="D23" s="142">
        <f>D22+F22-C18-E18</f>
        <v>5456.8490808181632</v>
      </c>
      <c r="E23" s="142"/>
      <c r="F23" s="143"/>
      <c r="G23" s="144"/>
    </row>
    <row r="24" spans="2:7" s="114" customFormat="1" ht="15.6">
      <c r="B24" s="145" t="s">
        <v>151</v>
      </c>
      <c r="C24" s="138"/>
      <c r="D24" s="142">
        <f>F9*D20/2+D20*C9/2+D20*F9-E18-C18</f>
        <v>7403.264493042162</v>
      </c>
      <c r="E24" s="142"/>
      <c r="F24" s="143"/>
      <c r="G24" s="144"/>
    </row>
    <row r="25" spans="2:7" ht="15.6">
      <c r="B25" s="125" t="s">
        <v>152</v>
      </c>
      <c r="C25" s="133"/>
      <c r="D25" s="133">
        <v>0</v>
      </c>
      <c r="E25" s="133"/>
      <c r="F25" s="134"/>
      <c r="G25" s="135"/>
    </row>
    <row r="26" spans="2:7" ht="15.6">
      <c r="B26" s="125"/>
      <c r="C26" s="133">
        <v>0</v>
      </c>
      <c r="D26" s="133">
        <v>0</v>
      </c>
      <c r="E26" s="133"/>
      <c r="F26" s="134"/>
      <c r="G26" s="135"/>
    </row>
    <row r="27" spans="2:7" ht="16.2">
      <c r="B27" s="146" t="s">
        <v>153</v>
      </c>
      <c r="C27" s="142"/>
      <c r="D27" s="133">
        <f>D23*27.5</f>
        <v>150063.34972249949</v>
      </c>
      <c r="E27" s="133" t="s">
        <v>101</v>
      </c>
      <c r="F27" s="134"/>
      <c r="G27" s="135"/>
    </row>
    <row r="28" spans="2:7" ht="16.2">
      <c r="B28" s="147" t="s">
        <v>154</v>
      </c>
      <c r="C28" s="148"/>
      <c r="D28" s="149">
        <f>D24*28</f>
        <v>207291.40580518055</v>
      </c>
      <c r="E28" s="149"/>
      <c r="F28" s="129"/>
      <c r="G28" s="150"/>
    </row>
    <row r="30" spans="2:7" ht="14.25" customHeight="1">
      <c r="B30" s="151" t="s">
        <v>155</v>
      </c>
    </row>
    <row r="31" spans="2:7" ht="15.6">
      <c r="B31" s="152" t="s">
        <v>156</v>
      </c>
      <c r="C31" s="153"/>
      <c r="D31" s="133"/>
      <c r="E31" s="133" t="s">
        <v>101</v>
      </c>
    </row>
    <row r="32" spans="2:7" ht="15.6">
      <c r="B32" s="152" t="s">
        <v>157</v>
      </c>
      <c r="C32" s="136" t="s">
        <v>158</v>
      </c>
      <c r="D32" s="133">
        <f>(D27*9+D28*3)</f>
        <v>1972444.3649180371</v>
      </c>
      <c r="E32" s="133" t="s">
        <v>101</v>
      </c>
    </row>
    <row r="33" spans="2:8" ht="15.6">
      <c r="B33" s="257"/>
      <c r="C33" s="257"/>
      <c r="D33" s="257"/>
      <c r="E33" s="257"/>
    </row>
    <row r="34" spans="2:8">
      <c r="B34" s="142" t="s">
        <v>159</v>
      </c>
      <c r="C34" s="133">
        <f>储能技术参数!C7</f>
        <v>6008832</v>
      </c>
      <c r="D34" s="133" t="s">
        <v>12</v>
      </c>
    </row>
    <row r="35" spans="2:8">
      <c r="B35" s="142" t="s">
        <v>136</v>
      </c>
      <c r="C35" s="133">
        <f>C34*0.85*0.9</f>
        <v>4596756.4800000004</v>
      </c>
      <c r="D35" s="133" t="s">
        <v>12</v>
      </c>
    </row>
    <row r="36" spans="2:8">
      <c r="B36" s="142" t="s">
        <v>160</v>
      </c>
      <c r="C36" s="133">
        <f>投资估算!C32</f>
        <v>9673336.3200000003</v>
      </c>
      <c r="D36" s="133" t="s">
        <v>101</v>
      </c>
    </row>
    <row r="37" spans="2:8">
      <c r="B37" s="142" t="s">
        <v>161</v>
      </c>
      <c r="C37" s="133">
        <f>C36/C34</f>
        <v>1.6098530163599183</v>
      </c>
      <c r="D37" s="133" t="s">
        <v>162</v>
      </c>
    </row>
    <row r="38" spans="2:8">
      <c r="B38" s="142" t="s">
        <v>163</v>
      </c>
      <c r="C38" s="133">
        <f>C36/C35</f>
        <v>2.1043830279214615</v>
      </c>
      <c r="D38" s="133" t="s">
        <v>162</v>
      </c>
    </row>
    <row r="39" spans="2:8">
      <c r="B39" s="138" t="s">
        <v>164</v>
      </c>
      <c r="C39" s="133">
        <f>变量!D15</f>
        <v>6000</v>
      </c>
      <c r="D39" s="133" t="s">
        <v>57</v>
      </c>
    </row>
    <row r="40" spans="2:8">
      <c r="B40" s="142" t="s">
        <v>165</v>
      </c>
      <c r="C40" s="133">
        <f>C11*变量!D21</f>
        <v>660</v>
      </c>
      <c r="D40" s="133" t="s">
        <v>57</v>
      </c>
      <c r="E40" s="118"/>
    </row>
    <row r="41" spans="2:8">
      <c r="B41" s="138"/>
      <c r="C41" s="133"/>
      <c r="D41" s="133"/>
    </row>
    <row r="42" spans="2:8">
      <c r="B42" s="133" t="s">
        <v>166</v>
      </c>
      <c r="C42" s="133" t="s">
        <v>167</v>
      </c>
      <c r="D42" s="133" t="s">
        <v>6</v>
      </c>
      <c r="E42" s="115"/>
      <c r="G42" s="154" t="s">
        <v>168</v>
      </c>
      <c r="H42" s="155"/>
    </row>
    <row r="43" spans="2:8">
      <c r="B43" s="133" t="s">
        <v>169</v>
      </c>
      <c r="C43" s="156">
        <f>E43*F43*0.9</f>
        <v>867185.16503621498</v>
      </c>
      <c r="D43" s="133" t="s">
        <v>101</v>
      </c>
      <c r="E43" s="133">
        <v>986222.18245901854</v>
      </c>
      <c r="F43" s="115">
        <f>1*(1-0.023)</f>
        <v>0.97699999999999998</v>
      </c>
      <c r="G43" s="155" t="s">
        <v>169</v>
      </c>
      <c r="H43" s="157">
        <f>E43*F43*0.1</f>
        <v>96353.907226246112</v>
      </c>
    </row>
    <row r="44" spans="2:8">
      <c r="B44" s="133" t="s">
        <v>170</v>
      </c>
      <c r="C44" s="156">
        <f t="shared" ref="C44:C57" si="0">E44*F44*0.9</f>
        <v>846770.3658593134</v>
      </c>
      <c r="D44" s="133" t="s">
        <v>101</v>
      </c>
      <c r="E44" s="133">
        <v>986222.18245901854</v>
      </c>
      <c r="F44" s="115">
        <f>1-0.023*2</f>
        <v>0.95399999999999996</v>
      </c>
      <c r="G44" s="155" t="s">
        <v>170</v>
      </c>
      <c r="H44" s="157">
        <f t="shared" ref="H44:H57" si="1">E44*F44*0.1</f>
        <v>94085.596206590373</v>
      </c>
    </row>
    <row r="45" spans="2:8">
      <c r="B45" s="133" t="s">
        <v>171</v>
      </c>
      <c r="C45" s="156">
        <f t="shared" si="0"/>
        <v>826355.56668241171</v>
      </c>
      <c r="D45" s="133" t="s">
        <v>101</v>
      </c>
      <c r="E45" s="133">
        <v>986222.18245901854</v>
      </c>
      <c r="F45" s="115">
        <f>1-0.023*3</f>
        <v>0.93100000000000005</v>
      </c>
      <c r="G45" s="155" t="s">
        <v>171</v>
      </c>
      <c r="H45" s="157">
        <f t="shared" si="1"/>
        <v>91817.285186934634</v>
      </c>
    </row>
    <row r="46" spans="2:8">
      <c r="B46" s="133" t="s">
        <v>172</v>
      </c>
      <c r="C46" s="156">
        <f t="shared" si="0"/>
        <v>805940.76750551001</v>
      </c>
      <c r="D46" s="133" t="s">
        <v>101</v>
      </c>
      <c r="E46" s="133">
        <v>986222.18245901854</v>
      </c>
      <c r="F46" s="127">
        <f>1-0.023*4</f>
        <v>0.90800000000000003</v>
      </c>
      <c r="G46" s="155" t="s">
        <v>172</v>
      </c>
      <c r="H46" s="157">
        <f t="shared" si="1"/>
        <v>89548.974167278895</v>
      </c>
    </row>
    <row r="47" spans="2:8">
      <c r="B47" s="133" t="s">
        <v>173</v>
      </c>
      <c r="C47" s="156">
        <f t="shared" si="0"/>
        <v>785525.96832860832</v>
      </c>
      <c r="D47" s="133" t="s">
        <v>101</v>
      </c>
      <c r="E47" s="133">
        <v>986222.18245901854</v>
      </c>
      <c r="F47" s="115">
        <f>1-0.023*5</f>
        <v>0.88500000000000001</v>
      </c>
      <c r="G47" s="155" t="s">
        <v>173</v>
      </c>
      <c r="H47" s="157">
        <f t="shared" si="1"/>
        <v>87280.663147623141</v>
      </c>
    </row>
    <row r="48" spans="2:8">
      <c r="B48" s="133" t="s">
        <v>174</v>
      </c>
      <c r="C48" s="156">
        <f t="shared" si="0"/>
        <v>765111.16915170662</v>
      </c>
      <c r="D48" s="133" t="s">
        <v>101</v>
      </c>
      <c r="E48" s="133">
        <v>986222.18245901854</v>
      </c>
      <c r="F48" s="115">
        <f>1-0.023*6</f>
        <v>0.86199999999999999</v>
      </c>
      <c r="G48" s="155" t="s">
        <v>174</v>
      </c>
      <c r="H48" s="157">
        <f t="shared" si="1"/>
        <v>85012.352127967402</v>
      </c>
    </row>
    <row r="49" spans="2:8">
      <c r="B49" s="133" t="s">
        <v>175</v>
      </c>
      <c r="C49" s="156">
        <f t="shared" si="0"/>
        <v>744696.36997480493</v>
      </c>
      <c r="D49" s="133" t="s">
        <v>101</v>
      </c>
      <c r="E49" s="133">
        <v>986222.18245901854</v>
      </c>
      <c r="F49" s="127">
        <f>1-0.023*7</f>
        <v>0.83899999999999997</v>
      </c>
      <c r="G49" s="155" t="s">
        <v>175</v>
      </c>
      <c r="H49" s="157">
        <f t="shared" si="1"/>
        <v>82744.041108311663</v>
      </c>
    </row>
    <row r="50" spans="2:8" ht="14.4" customHeight="1">
      <c r="B50" s="133" t="s">
        <v>176</v>
      </c>
      <c r="C50" s="156">
        <f t="shared" si="0"/>
        <v>724281.57079790323</v>
      </c>
      <c r="D50" s="133" t="s">
        <v>101</v>
      </c>
      <c r="E50" s="133">
        <v>986222.18245901854</v>
      </c>
      <c r="F50" s="115">
        <f>1-0.023*8</f>
        <v>0.81600000000000006</v>
      </c>
      <c r="G50" s="155" t="s">
        <v>176</v>
      </c>
      <c r="H50" s="157">
        <f t="shared" si="1"/>
        <v>80475.730088655924</v>
      </c>
    </row>
    <row r="51" spans="2:8">
      <c r="B51" s="133" t="s">
        <v>177</v>
      </c>
      <c r="C51" s="156">
        <f t="shared" si="0"/>
        <v>703866.77162100154</v>
      </c>
      <c r="D51" s="133" t="s">
        <v>101</v>
      </c>
      <c r="E51" s="133">
        <v>986222.18245901854</v>
      </c>
      <c r="F51" s="115">
        <f>1-0.023*9</f>
        <v>0.79300000000000004</v>
      </c>
      <c r="G51" s="155" t="s">
        <v>177</v>
      </c>
      <c r="H51" s="157">
        <f t="shared" si="1"/>
        <v>78207.419069000171</v>
      </c>
    </row>
    <row r="52" spans="2:8">
      <c r="B52" s="133" t="s">
        <v>178</v>
      </c>
      <c r="C52" s="156">
        <f t="shared" si="0"/>
        <v>683451.97244409996</v>
      </c>
      <c r="D52" s="133" t="s">
        <v>101</v>
      </c>
      <c r="E52" s="133">
        <v>986222.18245901854</v>
      </c>
      <c r="F52" s="115">
        <f>1-0.023*10</f>
        <v>0.77</v>
      </c>
      <c r="G52" s="155" t="s">
        <v>178</v>
      </c>
      <c r="H52" s="157">
        <f t="shared" si="1"/>
        <v>75939.108049344431</v>
      </c>
    </row>
    <row r="53" spans="2:8">
      <c r="B53" s="133" t="s">
        <v>179</v>
      </c>
      <c r="C53" s="156">
        <f t="shared" si="0"/>
        <v>663037.17326719814</v>
      </c>
      <c r="D53" s="133" t="s">
        <v>101</v>
      </c>
      <c r="E53" s="133">
        <v>986222.18245901854</v>
      </c>
      <c r="F53" s="115">
        <f>1-0.023*11</f>
        <v>0.747</v>
      </c>
      <c r="G53" s="155" t="s">
        <v>179</v>
      </c>
      <c r="H53" s="157">
        <f t="shared" si="1"/>
        <v>73670.797029688692</v>
      </c>
    </row>
    <row r="54" spans="2:8">
      <c r="B54" s="133" t="s">
        <v>180</v>
      </c>
      <c r="C54" s="156">
        <f t="shared" si="0"/>
        <v>642622.37409029645</v>
      </c>
      <c r="D54" s="133" t="s">
        <v>101</v>
      </c>
      <c r="E54" s="133">
        <v>986222.18245901854</v>
      </c>
      <c r="F54" s="115">
        <f>1-0.023*12</f>
        <v>0.72399999999999998</v>
      </c>
      <c r="G54" s="155" t="s">
        <v>180</v>
      </c>
      <c r="H54" s="157">
        <f t="shared" si="1"/>
        <v>71402.486010032939</v>
      </c>
    </row>
    <row r="55" spans="2:8">
      <c r="B55" s="136" t="s">
        <v>181</v>
      </c>
      <c r="C55" s="156">
        <f t="shared" si="0"/>
        <v>622207.57491339487</v>
      </c>
      <c r="D55" s="133" t="s">
        <v>101</v>
      </c>
      <c r="E55" s="133">
        <v>986222.18245901854</v>
      </c>
      <c r="F55" s="115">
        <f>1-0.023*13</f>
        <v>0.70100000000000007</v>
      </c>
      <c r="G55" s="155" t="s">
        <v>181</v>
      </c>
      <c r="H55" s="157">
        <f t="shared" si="1"/>
        <v>69134.1749903772</v>
      </c>
    </row>
    <row r="56" spans="2:8">
      <c r="B56" s="136" t="s">
        <v>182</v>
      </c>
      <c r="C56" s="156">
        <f t="shared" si="0"/>
        <v>601792.77573649306</v>
      </c>
      <c r="D56" s="133" t="s">
        <v>101</v>
      </c>
      <c r="E56" s="133">
        <v>986222.18245901854</v>
      </c>
      <c r="F56" s="115">
        <f>1-0.023*14</f>
        <v>0.67799999999999994</v>
      </c>
      <c r="G56" s="155" t="s">
        <v>182</v>
      </c>
      <c r="H56" s="157">
        <f t="shared" si="1"/>
        <v>66865.863970721461</v>
      </c>
    </row>
    <row r="57" spans="2:8">
      <c r="B57" s="136" t="s">
        <v>183</v>
      </c>
      <c r="C57" s="156">
        <f t="shared" si="0"/>
        <v>581377.97655959148</v>
      </c>
      <c r="D57" s="133" t="s">
        <v>101</v>
      </c>
      <c r="E57" s="133">
        <v>986222.18245901854</v>
      </c>
      <c r="F57" s="115">
        <f>1-0.023*15</f>
        <v>0.65500000000000003</v>
      </c>
      <c r="G57" s="155" t="s">
        <v>183</v>
      </c>
      <c r="H57" s="157">
        <f t="shared" si="1"/>
        <v>64597.552951065722</v>
      </c>
    </row>
    <row r="58" spans="2:8" ht="14.25" customHeight="1">
      <c r="C58" s="158"/>
      <c r="G58" s="159" t="s">
        <v>184</v>
      </c>
      <c r="H58" s="160">
        <f>SUM(H43:H57)</f>
        <v>1207135.9513298387</v>
      </c>
    </row>
    <row r="59" spans="2:8" ht="15" customHeight="1">
      <c r="B59" s="161" t="s">
        <v>185</v>
      </c>
      <c r="C59" s="162"/>
      <c r="D59" s="149"/>
    </row>
    <row r="60" spans="2:8" ht="15.6">
      <c r="B60" s="258" t="s">
        <v>186</v>
      </c>
      <c r="C60" s="258"/>
      <c r="D60" s="258"/>
      <c r="E60" s="258"/>
    </row>
    <row r="61" spans="2:8" ht="15.6">
      <c r="E61" s="163"/>
    </row>
    <row r="62" spans="2:8">
      <c r="B62" s="120" t="s">
        <v>187</v>
      </c>
      <c r="C62" s="120" t="s">
        <v>188</v>
      </c>
      <c r="D62" s="120" t="s">
        <v>189</v>
      </c>
      <c r="E62" s="120" t="s">
        <v>190</v>
      </c>
    </row>
    <row r="63" spans="2:8">
      <c r="B63" s="136" t="s">
        <v>191</v>
      </c>
      <c r="C63" s="133">
        <v>0</v>
      </c>
      <c r="D63" s="164">
        <f>C43</f>
        <v>867185.16503621498</v>
      </c>
      <c r="E63" s="164">
        <f>D63</f>
        <v>867185.16503621498</v>
      </c>
      <c r="H63"/>
    </row>
    <row r="64" spans="2:8">
      <c r="B64" s="136" t="s">
        <v>192</v>
      </c>
      <c r="C64" s="133">
        <v>0</v>
      </c>
      <c r="D64" s="164">
        <f t="shared" ref="D64:D77" si="2">C44</f>
        <v>846770.3658593134</v>
      </c>
      <c r="E64" s="164">
        <f t="shared" ref="E64:E77" si="3">D64</f>
        <v>846770.3658593134</v>
      </c>
      <c r="H64"/>
    </row>
    <row r="65" spans="2:8">
      <c r="B65" s="136" t="s">
        <v>193</v>
      </c>
      <c r="C65" s="133">
        <v>0</v>
      </c>
      <c r="D65" s="164">
        <f t="shared" si="2"/>
        <v>826355.56668241171</v>
      </c>
      <c r="E65" s="164">
        <f t="shared" si="3"/>
        <v>826355.56668241171</v>
      </c>
      <c r="G65"/>
      <c r="H65"/>
    </row>
    <row r="66" spans="2:8">
      <c r="B66" s="136" t="s">
        <v>194</v>
      </c>
      <c r="C66" s="133">
        <v>0</v>
      </c>
      <c r="D66" s="164">
        <f t="shared" si="2"/>
        <v>805940.76750551001</v>
      </c>
      <c r="E66" s="164">
        <f t="shared" si="3"/>
        <v>805940.76750551001</v>
      </c>
      <c r="F66" s="127"/>
      <c r="G66"/>
      <c r="H66"/>
    </row>
    <row r="67" spans="2:8">
      <c r="B67" s="136" t="s">
        <v>195</v>
      </c>
      <c r="C67" s="133">
        <v>0</v>
      </c>
      <c r="D67" s="164">
        <f t="shared" si="2"/>
        <v>785525.96832860832</v>
      </c>
      <c r="E67" s="164">
        <f t="shared" si="3"/>
        <v>785525.96832860832</v>
      </c>
      <c r="G67"/>
      <c r="H67"/>
    </row>
    <row r="68" spans="2:8">
      <c r="B68" s="136" t="s">
        <v>196</v>
      </c>
      <c r="C68" s="133">
        <v>0</v>
      </c>
      <c r="D68" s="164">
        <f t="shared" si="2"/>
        <v>765111.16915170662</v>
      </c>
      <c r="E68" s="164">
        <f t="shared" si="3"/>
        <v>765111.16915170662</v>
      </c>
      <c r="H68"/>
    </row>
    <row r="69" spans="2:8">
      <c r="B69" s="136" t="s">
        <v>197</v>
      </c>
      <c r="C69" s="133">
        <v>0</v>
      </c>
      <c r="D69" s="164">
        <f t="shared" si="2"/>
        <v>744696.36997480493</v>
      </c>
      <c r="E69" s="164">
        <f t="shared" si="3"/>
        <v>744696.36997480493</v>
      </c>
      <c r="F69" s="127"/>
      <c r="H69"/>
    </row>
    <row r="70" spans="2:8">
      <c r="B70" s="136" t="s">
        <v>198</v>
      </c>
      <c r="C70" s="133">
        <v>0</v>
      </c>
      <c r="D70" s="164">
        <f t="shared" si="2"/>
        <v>724281.57079790323</v>
      </c>
      <c r="E70" s="164">
        <f t="shared" si="3"/>
        <v>724281.57079790323</v>
      </c>
      <c r="H70"/>
    </row>
    <row r="71" spans="2:8">
      <c r="B71" s="136" t="s">
        <v>199</v>
      </c>
      <c r="C71" s="133">
        <v>0</v>
      </c>
      <c r="D71" s="164">
        <f t="shared" si="2"/>
        <v>703866.77162100154</v>
      </c>
      <c r="E71" s="164">
        <f t="shared" si="3"/>
        <v>703866.77162100154</v>
      </c>
      <c r="H71"/>
    </row>
    <row r="72" spans="2:8">
      <c r="B72" s="136" t="s">
        <v>200</v>
      </c>
      <c r="C72" s="133">
        <v>0</v>
      </c>
      <c r="D72" s="164">
        <f t="shared" si="2"/>
        <v>683451.97244409996</v>
      </c>
      <c r="E72" s="164">
        <f t="shared" si="3"/>
        <v>683451.97244409996</v>
      </c>
      <c r="H72"/>
    </row>
    <row r="73" spans="2:8">
      <c r="B73" s="136" t="s">
        <v>201</v>
      </c>
      <c r="C73" s="133">
        <v>0</v>
      </c>
      <c r="D73" s="164">
        <f t="shared" si="2"/>
        <v>663037.17326719814</v>
      </c>
      <c r="E73" s="164">
        <f t="shared" si="3"/>
        <v>663037.17326719814</v>
      </c>
      <c r="H73"/>
    </row>
    <row r="74" spans="2:8">
      <c r="B74" s="136" t="s">
        <v>202</v>
      </c>
      <c r="C74" s="133">
        <v>0</v>
      </c>
      <c r="D74" s="164">
        <f t="shared" si="2"/>
        <v>642622.37409029645</v>
      </c>
      <c r="E74" s="164">
        <f t="shared" si="3"/>
        <v>642622.37409029645</v>
      </c>
      <c r="H74"/>
    </row>
    <row r="75" spans="2:8">
      <c r="B75" s="136" t="s">
        <v>203</v>
      </c>
      <c r="C75" s="133">
        <v>0</v>
      </c>
      <c r="D75" s="164">
        <f t="shared" si="2"/>
        <v>622207.57491339487</v>
      </c>
      <c r="E75" s="164">
        <f t="shared" si="3"/>
        <v>622207.57491339487</v>
      </c>
      <c r="H75"/>
    </row>
    <row r="76" spans="2:8">
      <c r="B76" s="136" t="s">
        <v>204</v>
      </c>
      <c r="C76" s="133">
        <v>0</v>
      </c>
      <c r="D76" s="164">
        <f t="shared" si="2"/>
        <v>601792.77573649306</v>
      </c>
      <c r="E76" s="164">
        <f t="shared" si="3"/>
        <v>601792.77573649306</v>
      </c>
      <c r="H76"/>
    </row>
    <row r="77" spans="2:8">
      <c r="B77" s="136" t="s">
        <v>205</v>
      </c>
      <c r="C77" s="133">
        <v>0</v>
      </c>
      <c r="D77" s="164">
        <f t="shared" si="2"/>
        <v>581377.97655959148</v>
      </c>
      <c r="E77" s="164">
        <f t="shared" si="3"/>
        <v>581377.97655959148</v>
      </c>
      <c r="H77"/>
    </row>
  </sheetData>
  <mergeCells count="5">
    <mergeCell ref="B1:E1"/>
    <mergeCell ref="B13:E13"/>
    <mergeCell ref="B33:E33"/>
    <mergeCell ref="B60:E60"/>
    <mergeCell ref="B4:B5"/>
  </mergeCells>
  <phoneticPr fontId="42" type="noConversion"/>
  <pageMargins left="0.69930555555555596" right="0.69930555555555596" top="0.75" bottom="0.75" header="0.3" footer="0.3"/>
  <pageSetup paperSize="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XEO57"/>
  <sheetViews>
    <sheetView topLeftCell="A16" workbookViewId="0">
      <selection activeCell="E39" sqref="E39"/>
    </sheetView>
  </sheetViews>
  <sheetFormatPr defaultColWidth="10" defaultRowHeight="18" customHeight="1" outlineLevelRow="1"/>
  <cols>
    <col min="1" max="1" width="9.44140625" style="84" customWidth="1"/>
    <col min="2" max="2" width="5.33203125" style="87" customWidth="1"/>
    <col min="3" max="3" width="31.44140625" style="84" customWidth="1"/>
    <col min="4" max="5" width="11.6640625" style="84" customWidth="1"/>
    <col min="6" max="6" width="13.33203125" style="84" customWidth="1"/>
    <col min="7" max="17" width="11.6640625" style="84" customWidth="1"/>
    <col min="18" max="18" width="10.44140625" style="84" customWidth="1"/>
    <col min="19" max="20" width="13.109375" style="84" customWidth="1"/>
    <col min="21" max="16369" width="10" style="84"/>
  </cols>
  <sheetData>
    <row r="1" spans="1:20" s="84" customFormat="1" ht="18" customHeight="1">
      <c r="A1" s="88" t="s">
        <v>206</v>
      </c>
      <c r="B1" s="260" t="s">
        <v>2</v>
      </c>
      <c r="C1" s="89" t="s">
        <v>207</v>
      </c>
      <c r="D1" s="27" t="s">
        <v>208</v>
      </c>
      <c r="E1" s="27" t="s">
        <v>209</v>
      </c>
      <c r="F1" s="90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0" s="84" customFormat="1" ht="18" customHeight="1">
      <c r="B2" s="260"/>
      <c r="C2" s="89" t="s">
        <v>5</v>
      </c>
      <c r="D2" s="27">
        <v>1</v>
      </c>
      <c r="E2" s="27">
        <v>0</v>
      </c>
      <c r="F2" s="27">
        <v>1</v>
      </c>
      <c r="G2" s="27">
        <v>2</v>
      </c>
      <c r="H2" s="27">
        <v>3</v>
      </c>
      <c r="I2" s="27">
        <v>4</v>
      </c>
      <c r="J2" s="27">
        <v>5</v>
      </c>
      <c r="K2" s="27">
        <v>6</v>
      </c>
      <c r="L2" s="27">
        <v>7</v>
      </c>
      <c r="M2" s="27">
        <v>8</v>
      </c>
      <c r="N2" s="27">
        <v>9</v>
      </c>
      <c r="O2" s="27">
        <v>10</v>
      </c>
      <c r="P2" s="27">
        <v>11</v>
      </c>
      <c r="Q2" s="27">
        <v>12</v>
      </c>
      <c r="R2" s="27">
        <v>13</v>
      </c>
      <c r="S2" s="27">
        <v>14</v>
      </c>
      <c r="T2" s="27">
        <v>15</v>
      </c>
    </row>
    <row r="3" spans="1:20" s="85" customFormat="1" ht="18" customHeight="1">
      <c r="B3" s="89">
        <v>1</v>
      </c>
      <c r="C3" s="91" t="s">
        <v>210</v>
      </c>
      <c r="D3" s="92">
        <f t="shared" ref="D3:Q3" si="0">SUM(D4,D7:D11)</f>
        <v>9673336.3199999984</v>
      </c>
      <c r="E3" s="92">
        <f t="shared" si="0"/>
        <v>9673336.3199999984</v>
      </c>
      <c r="F3" s="93">
        <f t="shared" si="0"/>
        <v>9841932.1153005287</v>
      </c>
      <c r="G3" s="92">
        <f t="shared" si="0"/>
        <v>9991860.8334391993</v>
      </c>
      <c r="H3" s="92">
        <f t="shared" si="0"/>
        <v>10123110.456752012</v>
      </c>
      <c r="I3" s="92">
        <f t="shared" si="0"/>
        <v>10221598.943412973</v>
      </c>
      <c r="J3" s="92">
        <f t="shared" si="0"/>
        <v>10303721.556055764</v>
      </c>
      <c r="K3" s="92">
        <f t="shared" si="0"/>
        <v>10369467.135594355</v>
      </c>
      <c r="L3" s="92">
        <f t="shared" si="0"/>
        <v>10411773.27630862</v>
      </c>
      <c r="M3" s="92">
        <f t="shared" si="0"/>
        <v>10476856.712244187</v>
      </c>
      <c r="N3" s="92">
        <f t="shared" si="0"/>
        <v>10483750.549421631</v>
      </c>
      <c r="O3" s="92">
        <f t="shared" si="0"/>
        <v>10476778.092768408</v>
      </c>
      <c r="P3" s="92">
        <f t="shared" si="0"/>
        <v>10455928.781827947</v>
      </c>
      <c r="Q3" s="92">
        <f t="shared" si="0"/>
        <v>10421191.844934544</v>
      </c>
      <c r="R3" s="92">
        <f t="shared" ref="R3:T3" si="1">SUM(R4,R7:R11)</f>
        <v>10372556.29498918</v>
      </c>
      <c r="S3" s="92">
        <f t="shared" si="1"/>
        <v>10310010.925150856</v>
      </c>
      <c r="T3" s="92">
        <f t="shared" si="1"/>
        <v>10233544.304441754</v>
      </c>
    </row>
    <row r="4" spans="1:20" s="84" customFormat="1" ht="15" outlineLevel="1">
      <c r="B4" s="94">
        <v>1.1000000000000001</v>
      </c>
      <c r="C4" s="95" t="s">
        <v>211</v>
      </c>
      <c r="D4" s="96">
        <f>SUM(D5:D6)</f>
        <v>0</v>
      </c>
      <c r="E4" s="96">
        <f>SUM(E5:E6)</f>
        <v>0</v>
      </c>
      <c r="F4" s="96">
        <f>SUM(F5:F6)</f>
        <v>837141.00503621495</v>
      </c>
      <c r="G4" s="96">
        <f t="shared" ref="G4:Q4" si="2">SUM(G5:G6)</f>
        <v>1653266.3276955285</v>
      </c>
      <c r="H4" s="96">
        <f t="shared" si="2"/>
        <v>2448363.9503139402</v>
      </c>
      <c r="I4" s="96">
        <f t="shared" si="2"/>
        <v>3208351.8310654615</v>
      </c>
      <c r="J4" s="96">
        <f t="shared" si="2"/>
        <v>3949625.232583771</v>
      </c>
      <c r="K4" s="96">
        <f t="shared" si="2"/>
        <v>4672172.9957828382</v>
      </c>
      <c r="L4" s="96">
        <f t="shared" si="2"/>
        <v>5368932.7149425345</v>
      </c>
      <c r="M4" s="96">
        <f t="shared" si="2"/>
        <v>6495392.8991235569</v>
      </c>
      <c r="N4" s="96">
        <f t="shared" si="2"/>
        <v>7071067.2810325194</v>
      </c>
      <c r="O4" s="96">
        <f t="shared" si="2"/>
        <v>7632875.3691108152</v>
      </c>
      <c r="P4" s="96">
        <f t="shared" si="2"/>
        <v>8180806.6029018722</v>
      </c>
      <c r="Q4" s="96">
        <f t="shared" si="2"/>
        <v>8714850.210739987</v>
      </c>
      <c r="R4" s="96">
        <f t="shared" ref="R4:T4" si="3">SUM(R5:R6)</f>
        <v>9234995.2055261414</v>
      </c>
      <c r="S4" s="96">
        <f t="shared" si="3"/>
        <v>9741230.3804193363</v>
      </c>
      <c r="T4" s="96">
        <f t="shared" si="3"/>
        <v>10233544.304441754</v>
      </c>
    </row>
    <row r="5" spans="1:20" s="84" customFormat="1" ht="15" outlineLevel="1">
      <c r="B5" s="94" t="s">
        <v>212</v>
      </c>
      <c r="C5" s="95" t="s">
        <v>213</v>
      </c>
      <c r="D5" s="96">
        <v>0</v>
      </c>
      <c r="E5" s="96"/>
      <c r="F5" s="96"/>
      <c r="G5" s="96">
        <f>SUM(流动资产!D17)</f>
        <v>837141.00503621495</v>
      </c>
      <c r="H5" s="96">
        <f>SUM(流动资产!E17)</f>
        <v>1653266.3276955285</v>
      </c>
      <c r="I5" s="96">
        <f>SUM(流动资产!F17)</f>
        <v>2448363.9503139402</v>
      </c>
      <c r="J5" s="96">
        <f>SUM(流动资产!G17)</f>
        <v>3208351.8310654615</v>
      </c>
      <c r="K5" s="96">
        <f>SUM(流动资产!H17)</f>
        <v>3949625.232583771</v>
      </c>
      <c r="L5" s="96">
        <f>SUM(流动资产!I17)</f>
        <v>4672172.9957828382</v>
      </c>
      <c r="M5" s="96">
        <f>SUM(流动资产!J17)</f>
        <v>5368932.7149425345</v>
      </c>
      <c r="N5" s="96">
        <f>SUM(流动资产!K17)</f>
        <v>6495392.8991235569</v>
      </c>
      <c r="O5" s="96">
        <f>SUM(流动资产!L17)</f>
        <v>7071067.2810325194</v>
      </c>
      <c r="P5" s="96">
        <f>SUM(流动资产!M17)</f>
        <v>7632875.3691108152</v>
      </c>
      <c r="Q5" s="96">
        <f>SUM(流动资产!N17)</f>
        <v>8180806.6029018722</v>
      </c>
      <c r="R5" s="96">
        <f>SUM(流动资产!O17)</f>
        <v>8714850.210739987</v>
      </c>
      <c r="S5" s="96">
        <f>SUM(流动资产!P17)</f>
        <v>9234995.2055261414</v>
      </c>
      <c r="T5" s="96">
        <f>SUM(流动资产!Q17)</f>
        <v>9741230.3804193363</v>
      </c>
    </row>
    <row r="6" spans="1:20" s="84" customFormat="1" ht="15" outlineLevel="1">
      <c r="B6" s="94" t="s">
        <v>214</v>
      </c>
      <c r="C6" s="95" t="s">
        <v>215</v>
      </c>
      <c r="D6" s="96">
        <f>'[1]4.1 利润及利润分配表'!F69+'[1]4.1 利润及利润分配表'!F70</f>
        <v>0</v>
      </c>
      <c r="E6" s="96"/>
      <c r="F6" s="96">
        <f>SUM(流动资产!D16)</f>
        <v>837141.00503621495</v>
      </c>
      <c r="G6" s="96">
        <f>SUM(流动资产!E16)</f>
        <v>816125.32265931345</v>
      </c>
      <c r="H6" s="96">
        <f>SUM(流动资产!F16)</f>
        <v>795097.62261841167</v>
      </c>
      <c r="I6" s="96">
        <f>SUM(流动资产!G16)</f>
        <v>759987.88075152121</v>
      </c>
      <c r="J6" s="96">
        <f>SUM(流动资产!H16)</f>
        <v>741273.40151830961</v>
      </c>
      <c r="K6" s="96">
        <f>SUM(流动资产!I16)</f>
        <v>722547.76319906709</v>
      </c>
      <c r="L6" s="96">
        <f>SUM(流动资产!J16)</f>
        <v>696759.71915969625</v>
      </c>
      <c r="M6" s="96">
        <f>SUM(流动资产!K16)</f>
        <v>1126460.184181022</v>
      </c>
      <c r="N6" s="96">
        <f>SUM(流动资产!L16)</f>
        <v>575674.38190896204</v>
      </c>
      <c r="O6" s="96">
        <f>SUM(流动资产!M16)</f>
        <v>561808.08807829604</v>
      </c>
      <c r="P6" s="96">
        <f>SUM(流动资产!N16)</f>
        <v>547931.23379105714</v>
      </c>
      <c r="Q6" s="96">
        <f>SUM(流动资产!O16)</f>
        <v>534043.60783811461</v>
      </c>
      <c r="R6" s="96">
        <f>SUM(流动资产!P16)</f>
        <v>520144.99478615401</v>
      </c>
      <c r="S6" s="96">
        <f>SUM(流动资产!Q16)</f>
        <v>506235.17489319498</v>
      </c>
      <c r="T6" s="96">
        <f>SUM(流动资产!R16)</f>
        <v>492313.92402241763</v>
      </c>
    </row>
    <row r="7" spans="1:20" s="84" customFormat="1" ht="15" outlineLevel="1">
      <c r="B7" s="94">
        <v>1.2</v>
      </c>
      <c r="C7" s="95" t="s">
        <v>216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>
        <v>0</v>
      </c>
      <c r="R7" s="96"/>
      <c r="S7" s="96"/>
      <c r="T7" s="96"/>
    </row>
    <row r="8" spans="1:20" s="84" customFormat="1" ht="15" outlineLevel="1">
      <c r="B8" s="94">
        <v>1.3</v>
      </c>
      <c r="C8" s="95" t="s">
        <v>117</v>
      </c>
      <c r="D8" s="97">
        <f>利润及利润分配表!D18</f>
        <v>8531708.1709727757</v>
      </c>
      <c r="E8" s="96">
        <f>SUM(利润及利润分配表!D18)</f>
        <v>8531708.1709727757</v>
      </c>
      <c r="F8" s="96">
        <f>SUM(E8-利润及利润分配表!G18)</f>
        <v>7962927.6262412574</v>
      </c>
      <c r="G8" s="96">
        <f>SUM(F8-利润及利润分配表!H17)</f>
        <v>7394147.0815097392</v>
      </c>
      <c r="H8" s="96">
        <f>SUM(G8-利润及利润分配表!I17)</f>
        <v>6825366.5367782209</v>
      </c>
      <c r="I8" s="96">
        <f>SUM(H8-利润及利润分配表!J17)</f>
        <v>6256585.9920467027</v>
      </c>
      <c r="J8" s="96">
        <f>SUM(I8-利润及利润分配表!K17)</f>
        <v>5687805.4473151844</v>
      </c>
      <c r="K8" s="96">
        <f>SUM(J8-利润及利润分配表!L17)</f>
        <v>5119024.9025836661</v>
      </c>
      <c r="L8" s="96">
        <f>SUM(K8-利润及利润分配表!M17)</f>
        <v>4550244.3578521479</v>
      </c>
      <c r="M8" s="96">
        <f>SUM(L8-利润及利润分配表!N17)</f>
        <v>3981463.8131206296</v>
      </c>
      <c r="N8" s="96">
        <f>SUM(M8-利润及利润分配表!O17)</f>
        <v>3412683.2683891114</v>
      </c>
      <c r="O8" s="96">
        <f>SUM(N8-利润及利润分配表!P17)</f>
        <v>2843902.7236575931</v>
      </c>
      <c r="P8" s="96">
        <f>SUM(O8-利润及利润分配表!Q17)</f>
        <v>2275122.1789260749</v>
      </c>
      <c r="Q8" s="96">
        <f>SUM(P8-利润及利润分配表!R17)</f>
        <v>1706341.6341945564</v>
      </c>
      <c r="R8" s="96">
        <f>SUM(Q8-利润及利润分配表!S17)</f>
        <v>1137561.0894630379</v>
      </c>
      <c r="S8" s="96">
        <f>SUM(R8-利润及利润分配表!T17)</f>
        <v>568780.54473151942</v>
      </c>
      <c r="T8" s="96">
        <f>SUM(S8-利润及利润分配表!U17)</f>
        <v>9.3132257461547852E-10</v>
      </c>
    </row>
    <row r="9" spans="1:20" s="84" customFormat="1" ht="15" outlineLevel="1">
      <c r="B9" s="94">
        <v>1.4</v>
      </c>
      <c r="C9" s="95" t="s">
        <v>217</v>
      </c>
      <c r="D9" s="96">
        <v>0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</row>
    <row r="10" spans="1:20" s="84" customFormat="1" ht="15" outlineLevel="1">
      <c r="B10" s="94">
        <v>1.5</v>
      </c>
      <c r="C10" s="95" t="s">
        <v>218</v>
      </c>
      <c r="D10" s="96">
        <v>0</v>
      </c>
      <c r="E10" s="96">
        <f>'[1]3.1 投资估算'!E93</f>
        <v>0</v>
      </c>
      <c r="F10" s="96">
        <f t="shared" ref="F10:K10" si="4">E10</f>
        <v>0</v>
      </c>
      <c r="G10" s="96">
        <f t="shared" si="4"/>
        <v>0</v>
      </c>
      <c r="H10" s="96">
        <f t="shared" si="4"/>
        <v>0</v>
      </c>
      <c r="I10" s="96">
        <f t="shared" si="4"/>
        <v>0</v>
      </c>
      <c r="J10" s="96">
        <f t="shared" si="4"/>
        <v>0</v>
      </c>
      <c r="K10" s="96">
        <f t="shared" si="4"/>
        <v>0</v>
      </c>
      <c r="L10" s="96"/>
      <c r="M10" s="96"/>
      <c r="N10" s="96"/>
      <c r="O10" s="96"/>
      <c r="P10" s="96"/>
      <c r="Q10" s="96"/>
      <c r="R10" s="96"/>
      <c r="S10" s="96"/>
      <c r="T10" s="96"/>
    </row>
    <row r="11" spans="1:20" s="84" customFormat="1" ht="15" outlineLevel="1">
      <c r="B11" s="94">
        <v>1.6</v>
      </c>
      <c r="C11" s="95" t="s">
        <v>219</v>
      </c>
      <c r="D11" s="98">
        <f>SUM(投资估算!C29)</f>
        <v>1141628.149027223</v>
      </c>
      <c r="E11" s="96">
        <f>SUM(投资估算!C29)</f>
        <v>1141628.149027223</v>
      </c>
      <c r="F11" s="96">
        <f>SUM(利润及利润分配表!G13)*-1</f>
        <v>1041863.4840230567</v>
      </c>
      <c r="G11" s="96">
        <f>SUM(利润及利润分配表!H13)*-1</f>
        <v>944447.42423393216</v>
      </c>
      <c r="H11" s="96">
        <f>SUM(利润及利润分配表!I13)*-1</f>
        <v>849379.96965984942</v>
      </c>
      <c r="I11" s="96">
        <f>SUM(利润及利润分配表!J13)*-1</f>
        <v>756661.12030080846</v>
      </c>
      <c r="J11" s="96">
        <f>SUM(利润及利润分配表!K13)*-1</f>
        <v>666290.87615680927</v>
      </c>
      <c r="K11" s="96">
        <f>SUM(利润及利润分配表!L13)*-1</f>
        <v>578269.23722785187</v>
      </c>
      <c r="L11" s="96">
        <f>SUM(利润及利润分配表!M13)*-1</f>
        <v>492596.20351393626</v>
      </c>
      <c r="M11" s="96">
        <f>SUM(利润及利润分配表!N13)*-1</f>
        <v>0</v>
      </c>
      <c r="N11" s="96">
        <f>SUM(利润及利润分配表!O13)*-1</f>
        <v>0</v>
      </c>
      <c r="O11" s="96">
        <f>SUM(利润及利润分配表!P13)*-1</f>
        <v>0</v>
      </c>
      <c r="P11" s="96">
        <f>SUM(利润及利润分配表!Q13)*-1</f>
        <v>0</v>
      </c>
      <c r="Q11" s="96">
        <f>SUM(利润及利润分配表!R13)*-1</f>
        <v>0</v>
      </c>
      <c r="R11" s="96">
        <f>SUM(利润及利润分配表!S13)*-1</f>
        <v>0</v>
      </c>
      <c r="S11" s="96">
        <f>SUM(利润及利润分配表!T13)*-1</f>
        <v>0</v>
      </c>
      <c r="T11" s="96">
        <f>SUM(利润及利润分配表!U13)*-1</f>
        <v>0</v>
      </c>
    </row>
    <row r="12" spans="1:20" s="84" customFormat="1" ht="15.6">
      <c r="B12" s="89">
        <v>2</v>
      </c>
      <c r="C12" s="99" t="s">
        <v>220</v>
      </c>
      <c r="D12" s="92">
        <f t="shared" ref="D12:Q12" si="5">SUM(D23:D24)</f>
        <v>9673336.3200000003</v>
      </c>
      <c r="E12" s="92">
        <f t="shared" si="5"/>
        <v>9673336.3200000003</v>
      </c>
      <c r="F12" s="93">
        <f t="shared" si="5"/>
        <v>9841932.1153005306</v>
      </c>
      <c r="G12" s="92">
        <f t="shared" si="5"/>
        <v>9991860.8334392011</v>
      </c>
      <c r="H12" s="92">
        <f t="shared" si="5"/>
        <v>10123110.45675201</v>
      </c>
      <c r="I12" s="92">
        <f t="shared" si="5"/>
        <v>10221598.943412974</v>
      </c>
      <c r="J12" s="92">
        <f t="shared" si="5"/>
        <v>10303721.556055764</v>
      </c>
      <c r="K12" s="92">
        <f t="shared" si="5"/>
        <v>10369467.135594357</v>
      </c>
      <c r="L12" s="92">
        <f t="shared" si="5"/>
        <v>10411773.276308618</v>
      </c>
      <c r="M12" s="92">
        <f t="shared" si="5"/>
        <v>10476856.712244185</v>
      </c>
      <c r="N12" s="92">
        <f t="shared" si="5"/>
        <v>10483750.549421631</v>
      </c>
      <c r="O12" s="92">
        <f t="shared" si="5"/>
        <v>10476778.092768406</v>
      </c>
      <c r="P12" s="92">
        <f t="shared" si="5"/>
        <v>10455928.781827945</v>
      </c>
      <c r="Q12" s="92">
        <f t="shared" si="5"/>
        <v>10421191.844934544</v>
      </c>
      <c r="R12" s="92">
        <f t="shared" ref="R12:T12" si="6">SUM(R23:R24)</f>
        <v>10372556.294989178</v>
      </c>
      <c r="S12" s="92">
        <f t="shared" si="6"/>
        <v>10310010.925150855</v>
      </c>
      <c r="T12" s="92">
        <f t="shared" si="6"/>
        <v>10233544.304441754</v>
      </c>
    </row>
    <row r="13" spans="1:20" s="84" customFormat="1" ht="15" outlineLevel="1">
      <c r="B13" s="94">
        <v>2.1</v>
      </c>
      <c r="C13" s="95" t="s">
        <v>221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96">
        <v>0</v>
      </c>
      <c r="S13" s="96">
        <v>0</v>
      </c>
      <c r="T13" s="96">
        <v>0</v>
      </c>
    </row>
    <row r="14" spans="1:20" s="84" customFormat="1" ht="15" outlineLevel="1">
      <c r="B14" s="94" t="s">
        <v>222</v>
      </c>
      <c r="C14" s="95" t="s">
        <v>223</v>
      </c>
      <c r="D14" s="96">
        <v>0</v>
      </c>
      <c r="E14" s="96">
        <v>0</v>
      </c>
      <c r="F14" s="96">
        <v>0</v>
      </c>
      <c r="G14" s="96"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  <c r="P14" s="96">
        <v>0</v>
      </c>
      <c r="Q14" s="96">
        <v>0</v>
      </c>
      <c r="R14" s="96">
        <v>0</v>
      </c>
      <c r="S14" s="96">
        <v>0</v>
      </c>
      <c r="T14" s="96">
        <v>0</v>
      </c>
    </row>
    <row r="15" spans="1:20" s="84" customFormat="1" ht="15" outlineLevel="1">
      <c r="B15" s="94" t="s">
        <v>224</v>
      </c>
      <c r="C15" s="95" t="s">
        <v>94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6">
        <v>0</v>
      </c>
    </row>
    <row r="16" spans="1:20" s="84" customFormat="1" ht="15" outlineLevel="1">
      <c r="B16" s="94">
        <v>2.2000000000000002</v>
      </c>
      <c r="C16" s="95" t="s">
        <v>115</v>
      </c>
      <c r="D16" s="96">
        <f>投资估算!$C$44</f>
        <v>0</v>
      </c>
      <c r="E16" s="96">
        <f>D16</f>
        <v>0</v>
      </c>
      <c r="F16" s="96">
        <f>借款!B5</f>
        <v>0</v>
      </c>
      <c r="G16" s="96">
        <f>借款!C5</f>
        <v>0</v>
      </c>
      <c r="H16" s="96">
        <f>借款!D5</f>
        <v>0</v>
      </c>
      <c r="I16" s="96">
        <f>借款!E5</f>
        <v>0</v>
      </c>
      <c r="J16" s="96">
        <f>借款!F5</f>
        <v>0</v>
      </c>
      <c r="K16" s="96">
        <f>借款!G5</f>
        <v>0</v>
      </c>
      <c r="L16" s="96">
        <f>借款!H5</f>
        <v>0</v>
      </c>
      <c r="M16" s="96">
        <f>借款!I5</f>
        <v>0</v>
      </c>
      <c r="N16" s="96">
        <f>借款!J5</f>
        <v>0</v>
      </c>
      <c r="O16" s="96">
        <f>借款!K5</f>
        <v>0</v>
      </c>
      <c r="P16" s="96"/>
      <c r="Q16" s="96"/>
      <c r="R16" s="96"/>
      <c r="S16" s="96"/>
      <c r="T16" s="96"/>
    </row>
    <row r="17" spans="2:20" s="84" customFormat="1" ht="15" outlineLevel="1">
      <c r="B17" s="94">
        <v>2.2999999999999998</v>
      </c>
      <c r="C17" s="100" t="s">
        <v>225</v>
      </c>
      <c r="D17" s="101"/>
      <c r="E17" s="98">
        <f t="shared" ref="E17:Q17" si="7">E36</f>
        <v>0</v>
      </c>
      <c r="F17" s="96">
        <f t="shared" si="7"/>
        <v>0</v>
      </c>
      <c r="G17" s="96">
        <f t="shared" si="7"/>
        <v>0</v>
      </c>
      <c r="H17" s="96">
        <f t="shared" si="7"/>
        <v>0</v>
      </c>
      <c r="I17" s="96">
        <f t="shared" si="7"/>
        <v>0</v>
      </c>
      <c r="J17" s="96">
        <f t="shared" si="7"/>
        <v>0</v>
      </c>
      <c r="K17" s="96">
        <f t="shared" si="7"/>
        <v>0</v>
      </c>
      <c r="L17" s="96">
        <f t="shared" si="7"/>
        <v>0</v>
      </c>
      <c r="M17" s="96">
        <f t="shared" si="7"/>
        <v>0</v>
      </c>
      <c r="N17" s="96">
        <f t="shared" si="7"/>
        <v>0</v>
      </c>
      <c r="O17" s="96">
        <f t="shared" si="7"/>
        <v>0</v>
      </c>
      <c r="P17" s="96">
        <f t="shared" si="7"/>
        <v>0</v>
      </c>
      <c r="Q17" s="96">
        <f t="shared" si="7"/>
        <v>0</v>
      </c>
      <c r="R17" s="96">
        <f t="shared" ref="R17:T17" si="8">R36</f>
        <v>0</v>
      </c>
      <c r="S17" s="96">
        <f t="shared" si="8"/>
        <v>0</v>
      </c>
      <c r="T17" s="96">
        <f t="shared" si="8"/>
        <v>0</v>
      </c>
    </row>
    <row r="18" spans="2:20" s="84" customFormat="1" ht="15" outlineLevel="1">
      <c r="B18" s="94" t="s">
        <v>226</v>
      </c>
      <c r="C18" s="95" t="s">
        <v>227</v>
      </c>
      <c r="D18" s="102"/>
      <c r="E18" s="96">
        <f t="shared" ref="E18:Q18" si="9">E37</f>
        <v>0</v>
      </c>
      <c r="F18" s="96">
        <f t="shared" si="9"/>
        <v>0</v>
      </c>
      <c r="G18" s="96">
        <f t="shared" si="9"/>
        <v>0</v>
      </c>
      <c r="H18" s="96">
        <f t="shared" si="9"/>
        <v>0</v>
      </c>
      <c r="I18" s="96">
        <f t="shared" si="9"/>
        <v>0</v>
      </c>
      <c r="J18" s="96">
        <f t="shared" si="9"/>
        <v>0</v>
      </c>
      <c r="K18" s="96">
        <f t="shared" si="9"/>
        <v>0</v>
      </c>
      <c r="L18" s="96">
        <f t="shared" si="9"/>
        <v>0</v>
      </c>
      <c r="M18" s="96">
        <f t="shared" si="9"/>
        <v>0</v>
      </c>
      <c r="N18" s="96">
        <f t="shared" si="9"/>
        <v>0</v>
      </c>
      <c r="O18" s="96">
        <f t="shared" si="9"/>
        <v>0</v>
      </c>
      <c r="P18" s="96">
        <f t="shared" si="9"/>
        <v>0</v>
      </c>
      <c r="Q18" s="96">
        <f t="shared" si="9"/>
        <v>0</v>
      </c>
      <c r="R18" s="96">
        <f t="shared" ref="R18:T18" si="10">R37</f>
        <v>0</v>
      </c>
      <c r="S18" s="96">
        <f t="shared" si="10"/>
        <v>0</v>
      </c>
      <c r="T18" s="96">
        <f t="shared" si="10"/>
        <v>0</v>
      </c>
    </row>
    <row r="19" spans="2:20" s="84" customFormat="1" ht="15" outlineLevel="1">
      <c r="B19" s="94" t="s">
        <v>228</v>
      </c>
      <c r="C19" s="95" t="s">
        <v>229</v>
      </c>
      <c r="D19" s="102"/>
      <c r="E19" s="96">
        <f>E38</f>
        <v>0</v>
      </c>
      <c r="F19" s="96">
        <v>0</v>
      </c>
      <c r="G19" s="96">
        <f t="shared" ref="G19:O19" si="11">G38</f>
        <v>0</v>
      </c>
      <c r="H19" s="96">
        <f t="shared" si="11"/>
        <v>0</v>
      </c>
      <c r="I19" s="96">
        <f t="shared" si="11"/>
        <v>0</v>
      </c>
      <c r="J19" s="96">
        <f t="shared" si="11"/>
        <v>0</v>
      </c>
      <c r="K19" s="96">
        <f t="shared" si="11"/>
        <v>0</v>
      </c>
      <c r="L19" s="96">
        <f t="shared" si="11"/>
        <v>0</v>
      </c>
      <c r="M19" s="96">
        <f t="shared" si="11"/>
        <v>0</v>
      </c>
      <c r="N19" s="96">
        <f t="shared" si="11"/>
        <v>0</v>
      </c>
      <c r="O19" s="96">
        <f t="shared" si="11"/>
        <v>0</v>
      </c>
      <c r="P19" s="96"/>
      <c r="Q19" s="96">
        <f>Q38</f>
        <v>0</v>
      </c>
      <c r="R19" s="96">
        <f t="shared" ref="R19:T19" si="12">R38</f>
        <v>0</v>
      </c>
      <c r="S19" s="96">
        <f t="shared" si="12"/>
        <v>0</v>
      </c>
      <c r="T19" s="96">
        <f t="shared" si="12"/>
        <v>0</v>
      </c>
    </row>
    <row r="20" spans="2:20" s="84" customFormat="1" ht="15" outlineLevel="1">
      <c r="B20" s="94" t="s">
        <v>230</v>
      </c>
      <c r="C20" s="95" t="s">
        <v>231</v>
      </c>
      <c r="D20" s="102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</row>
    <row r="21" spans="2:20" s="84" customFormat="1" ht="15" outlineLevel="1">
      <c r="B21" s="94" t="s">
        <v>232</v>
      </c>
      <c r="C21" s="95" t="s">
        <v>233</v>
      </c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</row>
    <row r="22" spans="2:20" s="84" customFormat="1" ht="15" outlineLevel="1">
      <c r="B22" s="94">
        <v>2.4</v>
      </c>
      <c r="C22" s="95" t="s">
        <v>234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6">
        <v>0</v>
      </c>
      <c r="P22" s="96">
        <v>0</v>
      </c>
      <c r="Q22" s="96">
        <v>0</v>
      </c>
      <c r="R22" s="96"/>
      <c r="S22" s="96"/>
      <c r="T22" s="96"/>
    </row>
    <row r="23" spans="2:20" s="84" customFormat="1" ht="15" outlineLevel="1">
      <c r="B23" s="94">
        <v>2.5</v>
      </c>
      <c r="C23" s="95" t="s">
        <v>235</v>
      </c>
      <c r="D23" s="96">
        <f t="shared" ref="D23:P23" si="13">SUM(D13,D16,D17,D22)</f>
        <v>0</v>
      </c>
      <c r="E23" s="96">
        <f t="shared" si="13"/>
        <v>0</v>
      </c>
      <c r="F23" s="96">
        <f t="shared" si="13"/>
        <v>0</v>
      </c>
      <c r="G23" s="96">
        <f t="shared" si="13"/>
        <v>0</v>
      </c>
      <c r="H23" s="96">
        <f t="shared" si="13"/>
        <v>0</v>
      </c>
      <c r="I23" s="96">
        <f t="shared" si="13"/>
        <v>0</v>
      </c>
      <c r="J23" s="96">
        <f t="shared" si="13"/>
        <v>0</v>
      </c>
      <c r="K23" s="96">
        <f t="shared" si="13"/>
        <v>0</v>
      </c>
      <c r="L23" s="96">
        <f t="shared" si="13"/>
        <v>0</v>
      </c>
      <c r="M23" s="96">
        <f t="shared" si="13"/>
        <v>0</v>
      </c>
      <c r="N23" s="96">
        <f t="shared" si="13"/>
        <v>0</v>
      </c>
      <c r="O23" s="96">
        <f t="shared" si="13"/>
        <v>0</v>
      </c>
      <c r="P23" s="96">
        <f t="shared" si="13"/>
        <v>0</v>
      </c>
      <c r="Q23" s="96"/>
      <c r="R23" s="96"/>
      <c r="S23" s="96"/>
      <c r="T23" s="96"/>
    </row>
    <row r="24" spans="2:20" s="84" customFormat="1" ht="15" outlineLevel="1">
      <c r="B24" s="94">
        <v>2.6</v>
      </c>
      <c r="C24" s="95" t="s">
        <v>236</v>
      </c>
      <c r="D24" s="96">
        <f>SUM(投资估算!C42)</f>
        <v>9673336.3200000003</v>
      </c>
      <c r="E24" s="96">
        <f t="shared" ref="E24:Q24" si="14">SUM(E25:E29)</f>
        <v>9673336.3200000003</v>
      </c>
      <c r="F24" s="96">
        <f t="shared" si="14"/>
        <v>9841932.1153005306</v>
      </c>
      <c r="G24" s="96">
        <f t="shared" si="14"/>
        <v>9991860.8334392011</v>
      </c>
      <c r="H24" s="96">
        <f t="shared" si="14"/>
        <v>10123110.45675201</v>
      </c>
      <c r="I24" s="96">
        <f t="shared" si="14"/>
        <v>10221598.943412974</v>
      </c>
      <c r="J24" s="96">
        <f t="shared" si="14"/>
        <v>10303721.556055764</v>
      </c>
      <c r="K24" s="96">
        <f t="shared" si="14"/>
        <v>10369467.135594357</v>
      </c>
      <c r="L24" s="96">
        <f t="shared" si="14"/>
        <v>10411773.276308618</v>
      </c>
      <c r="M24" s="96">
        <f t="shared" si="14"/>
        <v>10476856.712244185</v>
      </c>
      <c r="N24" s="96">
        <f t="shared" si="14"/>
        <v>10483750.549421631</v>
      </c>
      <c r="O24" s="96">
        <f t="shared" si="14"/>
        <v>10476778.092768406</v>
      </c>
      <c r="P24" s="96">
        <f t="shared" si="14"/>
        <v>10455928.781827945</v>
      </c>
      <c r="Q24" s="96">
        <f t="shared" si="14"/>
        <v>10421191.844934544</v>
      </c>
      <c r="R24" s="96">
        <f t="shared" ref="R24:T24" si="15">SUM(R25:R29)</f>
        <v>10372556.294989178</v>
      </c>
      <c r="S24" s="96">
        <f t="shared" si="15"/>
        <v>10310010.925150855</v>
      </c>
      <c r="T24" s="96">
        <f t="shared" si="15"/>
        <v>10233544.304441754</v>
      </c>
    </row>
    <row r="25" spans="2:20" s="84" customFormat="1" ht="15" outlineLevel="1">
      <c r="B25" s="94" t="s">
        <v>237</v>
      </c>
      <c r="C25" s="95" t="s">
        <v>238</v>
      </c>
      <c r="D25" s="96">
        <f>SUM(投资估算!C42)</f>
        <v>9673336.3200000003</v>
      </c>
      <c r="E25" s="96">
        <f>SUM(投资估算!C42)</f>
        <v>9673336.3200000003</v>
      </c>
      <c r="F25" s="103">
        <f t="shared" ref="F25:Q25" si="16">E25</f>
        <v>9673336.3200000003</v>
      </c>
      <c r="G25" s="103">
        <f t="shared" si="16"/>
        <v>9673336.3200000003</v>
      </c>
      <c r="H25" s="103">
        <f t="shared" si="16"/>
        <v>9673336.3200000003</v>
      </c>
      <c r="I25" s="103">
        <f t="shared" si="16"/>
        <v>9673336.3200000003</v>
      </c>
      <c r="J25" s="103">
        <f t="shared" si="16"/>
        <v>9673336.3200000003</v>
      </c>
      <c r="K25" s="103">
        <f t="shared" si="16"/>
        <v>9673336.3200000003</v>
      </c>
      <c r="L25" s="103">
        <f t="shared" si="16"/>
        <v>9673336.3200000003</v>
      </c>
      <c r="M25" s="103">
        <f t="shared" si="16"/>
        <v>9673336.3200000003</v>
      </c>
      <c r="N25" s="103">
        <f t="shared" si="16"/>
        <v>9673336.3200000003</v>
      </c>
      <c r="O25" s="103">
        <f t="shared" si="16"/>
        <v>9673336.3200000003</v>
      </c>
      <c r="P25" s="103">
        <f t="shared" si="16"/>
        <v>9673336.3200000003</v>
      </c>
      <c r="Q25" s="103">
        <f t="shared" si="16"/>
        <v>9673336.3200000003</v>
      </c>
      <c r="R25" s="103">
        <f t="shared" ref="R25" si="17">Q25</f>
        <v>9673336.3200000003</v>
      </c>
      <c r="S25" s="103">
        <f t="shared" ref="S25" si="18">R25</f>
        <v>9673336.3200000003</v>
      </c>
      <c r="T25" s="103">
        <f t="shared" ref="T25" si="19">S25</f>
        <v>9673336.3200000003</v>
      </c>
    </row>
    <row r="26" spans="2:20" s="84" customFormat="1" ht="15" outlineLevel="1">
      <c r="B26" s="94" t="s">
        <v>239</v>
      </c>
      <c r="C26" s="95" t="s">
        <v>240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96">
        <v>0</v>
      </c>
      <c r="N26" s="96">
        <v>0</v>
      </c>
      <c r="O26" s="96">
        <v>0</v>
      </c>
      <c r="P26" s="96">
        <v>0</v>
      </c>
      <c r="Q26" s="96">
        <v>0</v>
      </c>
      <c r="R26" s="96"/>
      <c r="S26" s="96"/>
      <c r="T26" s="96"/>
    </row>
    <row r="27" spans="2:20" s="84" customFormat="1" ht="15" outlineLevel="1">
      <c r="B27" s="94" t="s">
        <v>241</v>
      </c>
      <c r="C27" s="95" t="s">
        <v>242</v>
      </c>
      <c r="D27" s="96">
        <v>0</v>
      </c>
      <c r="E27" s="96">
        <v>0</v>
      </c>
      <c r="F27" s="96">
        <f>SUM(利润及利润分配表!G51)</f>
        <v>16859.579530053015</v>
      </c>
      <c r="G27" s="96">
        <f>SUM(利润及利润分配表!G51:H51)</f>
        <v>31852.45134392006</v>
      </c>
      <c r="H27" s="96">
        <f>SUM(利润及利润分配表!G51:I51)</f>
        <v>44977.413675201104</v>
      </c>
      <c r="I27" s="96">
        <f>SUM(利润及利润分配表!G51:J51)</f>
        <v>54826.262341297275</v>
      </c>
      <c r="J27" s="96">
        <f>SUM(利润及利润分配表!G51:K51)</f>
        <v>63038.523605576476</v>
      </c>
      <c r="K27" s="96">
        <f>SUM(利润及利润分配表!G51:L51)</f>
        <v>69613.08155943561</v>
      </c>
      <c r="L27" s="96">
        <f>SUM(利润及利润分配表!G51:M51)</f>
        <v>73843.695630861825</v>
      </c>
      <c r="M27" s="96">
        <f>SUM(利润及利润分配表!G51:N51)</f>
        <v>80352.039224418579</v>
      </c>
      <c r="N27" s="96">
        <f>SUM(利润及利润分配表!G51:O51)</f>
        <v>81041.422942162942</v>
      </c>
      <c r="O27" s="96">
        <f>SUM(利润及利润分配表!G51:P51)</f>
        <v>80344.17727684071</v>
      </c>
      <c r="P27" s="96">
        <f>SUM(利润及利润分配表!G51:Q51)</f>
        <v>78259.246182794595</v>
      </c>
      <c r="Q27" s="96">
        <f>SUM(利润及利润分配表!$G$51:R51)</f>
        <v>74785.552493454219</v>
      </c>
      <c r="R27" s="96">
        <f>SUM(利润及利润分配表!G51:S51)</f>
        <v>69921.997498917786</v>
      </c>
      <c r="S27" s="96">
        <f>SUM(利润及利润分配表!G51:T51)</f>
        <v>63667.46051508544</v>
      </c>
      <c r="T27" s="96">
        <f>SUM(利润及利润分配表!G51:U51)</f>
        <v>56020.798444175365</v>
      </c>
    </row>
    <row r="28" spans="2:20" s="84" customFormat="1" ht="15" outlineLevel="1">
      <c r="B28" s="94" t="s">
        <v>243</v>
      </c>
      <c r="C28" s="95" t="s">
        <v>244</v>
      </c>
      <c r="D28" s="96">
        <v>0</v>
      </c>
      <c r="E28" s="96">
        <v>0</v>
      </c>
      <c r="F28" s="104">
        <f>SUM(利润及利润分配表!G54)</f>
        <v>151736.21577047714</v>
      </c>
      <c r="G28" s="104">
        <f>SUM(利润及利润分配表!G54:H54)</f>
        <v>286672.0620952805</v>
      </c>
      <c r="H28" s="104">
        <f>SUM(利润及利润分配表!G54:I54)</f>
        <v>404796.7230768099</v>
      </c>
      <c r="I28" s="104">
        <f>SUM(利润及利润分配表!G54:J54)</f>
        <v>493436.36107167543</v>
      </c>
      <c r="J28" s="104">
        <f>SUM(利润及利润分配表!G54:K54)</f>
        <v>567346.71245018824</v>
      </c>
      <c r="K28" s="104">
        <f>SUM(利润及利润分配表!G54:L54)</f>
        <v>626517.73403492046</v>
      </c>
      <c r="L28" s="104">
        <f>SUM(利润及利润分配表!G54:M54)</f>
        <v>664593.26067775639</v>
      </c>
      <c r="M28" s="104">
        <f>SUM(利润及利润分配表!G54:N54)</f>
        <v>723168.35301976721</v>
      </c>
      <c r="N28" s="104">
        <f>SUM(利润及利润分配表!G54:O54)</f>
        <v>729372.8064794665</v>
      </c>
      <c r="O28" s="104">
        <f>SUM(利润及利润分配表!G54:P54)</f>
        <v>723097.59549156646</v>
      </c>
      <c r="P28" s="104">
        <f>SUM(利润及利润分配表!G54:Q54)</f>
        <v>704333.21564515133</v>
      </c>
      <c r="Q28" s="104">
        <f>SUM(利润及利润分配表!G54:R54)</f>
        <v>673069.97244108794</v>
      </c>
      <c r="R28" s="104">
        <f>SUM(利润及利润分配表!G54:S54)</f>
        <v>629297.97749026003</v>
      </c>
      <c r="S28" s="104">
        <f>SUM(利润及利润分配表!G54:T54)</f>
        <v>573007.14463576896</v>
      </c>
      <c r="T28" s="104">
        <f>SUM(利润及利润分配表!G54:U54)</f>
        <v>504187.18599757826</v>
      </c>
    </row>
    <row r="29" spans="2:20" s="84" customFormat="1" ht="15" outlineLevel="1">
      <c r="B29" s="94" t="s">
        <v>245</v>
      </c>
      <c r="C29" s="34" t="s">
        <v>246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0</v>
      </c>
    </row>
    <row r="30" spans="2:20" s="85" customFormat="1" ht="15.6">
      <c r="B30" s="30">
        <v>3</v>
      </c>
      <c r="C30" s="99" t="s">
        <v>247</v>
      </c>
      <c r="D30" s="37">
        <f t="shared" ref="D30:Q30" si="20">D3-D12</f>
        <v>0</v>
      </c>
      <c r="E30" s="37">
        <f t="shared" si="20"/>
        <v>0</v>
      </c>
      <c r="F30" s="37">
        <f t="shared" si="20"/>
        <v>0</v>
      </c>
      <c r="G30" s="37">
        <f t="shared" si="20"/>
        <v>0</v>
      </c>
      <c r="H30" s="37">
        <f t="shared" si="20"/>
        <v>0</v>
      </c>
      <c r="I30" s="37">
        <f t="shared" si="20"/>
        <v>0</v>
      </c>
      <c r="J30" s="37">
        <f t="shared" si="20"/>
        <v>0</v>
      </c>
      <c r="K30" s="37">
        <f t="shared" si="20"/>
        <v>0</v>
      </c>
      <c r="L30" s="37">
        <f t="shared" si="20"/>
        <v>0</v>
      </c>
      <c r="M30" s="37">
        <f t="shared" si="20"/>
        <v>0</v>
      </c>
      <c r="N30" s="37">
        <f t="shared" si="20"/>
        <v>0</v>
      </c>
      <c r="O30" s="37">
        <f t="shared" si="20"/>
        <v>0</v>
      </c>
      <c r="P30" s="37">
        <f t="shared" si="20"/>
        <v>0</v>
      </c>
      <c r="Q30" s="37">
        <f t="shared" si="20"/>
        <v>0</v>
      </c>
      <c r="R30" s="37">
        <f t="shared" ref="R30:T30" si="21">R3-R12</f>
        <v>0</v>
      </c>
      <c r="S30" s="37">
        <f t="shared" si="21"/>
        <v>0</v>
      </c>
      <c r="T30" s="37">
        <f t="shared" si="21"/>
        <v>0</v>
      </c>
    </row>
    <row r="31" spans="2:20" s="84" customFormat="1" ht="15">
      <c r="B31" s="33"/>
      <c r="C31" s="100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>
        <f>S30-R30</f>
        <v>0</v>
      </c>
      <c r="T31" s="35">
        <f>T30-S30</f>
        <v>0</v>
      </c>
    </row>
    <row r="32" spans="2:20" s="85" customFormat="1" ht="15.6">
      <c r="B32" s="89">
        <v>4</v>
      </c>
      <c r="C32" s="99" t="s">
        <v>248</v>
      </c>
      <c r="D32" s="106">
        <f>D23/D3</f>
        <v>0</v>
      </c>
      <c r="E32" s="106">
        <f t="shared" ref="E32:Q32" si="22">E23/E3</f>
        <v>0</v>
      </c>
      <c r="F32" s="106">
        <f t="shared" si="22"/>
        <v>0</v>
      </c>
      <c r="G32" s="106">
        <f t="shared" si="22"/>
        <v>0</v>
      </c>
      <c r="H32" s="106">
        <f t="shared" si="22"/>
        <v>0</v>
      </c>
      <c r="I32" s="106">
        <f t="shared" si="22"/>
        <v>0</v>
      </c>
      <c r="J32" s="106">
        <f t="shared" si="22"/>
        <v>0</v>
      </c>
      <c r="K32" s="106">
        <f t="shared" si="22"/>
        <v>0</v>
      </c>
      <c r="L32" s="106">
        <f t="shared" si="22"/>
        <v>0</v>
      </c>
      <c r="M32" s="106">
        <f t="shared" si="22"/>
        <v>0</v>
      </c>
      <c r="N32" s="106">
        <f t="shared" si="22"/>
        <v>0</v>
      </c>
      <c r="O32" s="106">
        <f t="shared" si="22"/>
        <v>0</v>
      </c>
      <c r="P32" s="106">
        <f t="shared" si="22"/>
        <v>0</v>
      </c>
      <c r="Q32" s="106">
        <f t="shared" si="22"/>
        <v>0</v>
      </c>
      <c r="R32" s="106">
        <f t="shared" ref="R32:T32" si="23">R23/R3</f>
        <v>0</v>
      </c>
      <c r="S32" s="106">
        <f t="shared" si="23"/>
        <v>0</v>
      </c>
      <c r="T32" s="106">
        <f t="shared" si="23"/>
        <v>0</v>
      </c>
    </row>
    <row r="33" spans="2:20" s="86" customFormat="1" ht="15">
      <c r="B33" s="107" t="s">
        <v>249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 s="86" customFormat="1" ht="11.4" customHeight="1">
      <c r="B34" s="107"/>
      <c r="C34" s="100"/>
      <c r="D34" s="100"/>
      <c r="E34" s="100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</row>
    <row r="35" spans="2:20" s="86" customFormat="1" ht="15" outlineLevel="1">
      <c r="B35" s="33" t="s">
        <v>250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 s="84" customFormat="1" ht="18" customHeight="1" outlineLevel="1">
      <c r="B36" s="94">
        <v>2.2999999999999998</v>
      </c>
      <c r="C36" s="34" t="s">
        <v>225</v>
      </c>
      <c r="D36" s="100"/>
      <c r="E36" s="108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</row>
    <row r="37" spans="2:20" s="84" customFormat="1" ht="18" customHeight="1" outlineLevel="1">
      <c r="B37" s="94" t="s">
        <v>226</v>
      </c>
      <c r="C37" s="47" t="s">
        <v>227</v>
      </c>
      <c r="D37" s="100"/>
      <c r="E37" s="108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</row>
    <row r="38" spans="2:20" s="84" customFormat="1" ht="18" customHeight="1" outlineLevel="1">
      <c r="B38" s="94" t="s">
        <v>228</v>
      </c>
      <c r="C38" s="47" t="s">
        <v>229</v>
      </c>
      <c r="D38" s="100"/>
      <c r="E38" s="100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>
        <f>SUM(Q39:Q40)</f>
        <v>0</v>
      </c>
      <c r="R38" s="109">
        <f t="shared" ref="R38:T38" si="24">SUM(R39:R40)</f>
        <v>0</v>
      </c>
      <c r="S38" s="109">
        <f t="shared" si="24"/>
        <v>0</v>
      </c>
      <c r="T38" s="109">
        <f t="shared" si="24"/>
        <v>0</v>
      </c>
    </row>
    <row r="39" spans="2:20" s="84" customFormat="1" ht="18" customHeight="1" outlineLevel="1">
      <c r="B39" s="94" t="s">
        <v>230</v>
      </c>
      <c r="C39" s="47" t="s">
        <v>231</v>
      </c>
      <c r="D39" s="100"/>
      <c r="E39" s="10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>
        <f>IF(Q2&lt;='[1]1.输入及假设'!$Z$27,'[1]4.2 资产负债表'!$E$39/'[1]1.输入及假设'!$Z$27,0)</f>
        <v>0</v>
      </c>
      <c r="R39" s="110">
        <f>IF(R2&lt;='[1]1.输入及假设'!$Z$27,'[1]4.2 资产负债表'!$E$39/'[1]1.输入及假设'!$Z$27,0)</f>
        <v>0</v>
      </c>
      <c r="S39" s="110">
        <f>IF(S2&lt;='[1]1.输入及假设'!$Z$27,'[1]4.2 资产负债表'!$E$39/'[1]1.输入及假设'!$Z$27,0)</f>
        <v>0</v>
      </c>
      <c r="T39" s="110">
        <f>IF(T2&lt;='[1]1.输入及假设'!$Z$27,'[1]4.2 资产负债表'!$E$39/'[1]1.输入及假设'!$Z$27,0)</f>
        <v>0</v>
      </c>
    </row>
    <row r="40" spans="2:20" s="84" customFormat="1" ht="15.6" customHeight="1" outlineLevel="1">
      <c r="B40" s="94" t="s">
        <v>232</v>
      </c>
      <c r="C40" s="47" t="s">
        <v>233</v>
      </c>
      <c r="D40" s="100"/>
      <c r="E40" s="10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>
        <f>Q37*'[1]1.输入及假设'!$Y$27</f>
        <v>0</v>
      </c>
      <c r="R40" s="110">
        <f>R37*'[1]1.输入及假设'!$Y$27</f>
        <v>0</v>
      </c>
      <c r="S40" s="110">
        <f>S37*'[1]1.输入及假设'!$Y$27</f>
        <v>0</v>
      </c>
      <c r="T40" s="110">
        <f>T37*'[1]1.输入及假设'!$Y$27</f>
        <v>0</v>
      </c>
    </row>
    <row r="41" spans="2:20" s="84" customFormat="1" ht="12.6" customHeight="1" outlineLevel="1">
      <c r="B41" s="33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</row>
    <row r="42" spans="2:20" s="84" customFormat="1" ht="15.6" customHeight="1" outlineLevel="1">
      <c r="B42" s="33" t="s">
        <v>251</v>
      </c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</row>
    <row r="43" spans="2:20" s="84" customFormat="1" ht="18" customHeight="1" outlineLevel="1">
      <c r="B43" s="94">
        <v>2.2999999999999998</v>
      </c>
      <c r="C43" s="34" t="s">
        <v>225</v>
      </c>
      <c r="D43" s="3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</row>
    <row r="44" spans="2:20" s="84" customFormat="1" ht="18" customHeight="1" outlineLevel="1">
      <c r="B44" s="94" t="s">
        <v>226</v>
      </c>
      <c r="C44" s="47" t="s">
        <v>227</v>
      </c>
      <c r="D44" s="35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</row>
    <row r="45" spans="2:20" s="84" customFormat="1" ht="18" customHeight="1" outlineLevel="1">
      <c r="B45" s="94" t="s">
        <v>228</v>
      </c>
      <c r="C45" s="47" t="s">
        <v>229</v>
      </c>
      <c r="D45" s="35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</row>
    <row r="46" spans="2:20" s="84" customFormat="1" ht="18" customHeight="1" outlineLevel="1">
      <c r="B46" s="94" t="s">
        <v>230</v>
      </c>
      <c r="C46" s="47" t="s">
        <v>231</v>
      </c>
      <c r="D46" s="35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</row>
    <row r="47" spans="2:20" s="84" customFormat="1" ht="18" customHeight="1" outlineLevel="1">
      <c r="B47" s="94" t="s">
        <v>232</v>
      </c>
      <c r="C47" s="47" t="s">
        <v>233</v>
      </c>
      <c r="D47" s="35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</row>
    <row r="48" spans="2:20" s="84" customFormat="1" ht="18" customHeight="1" outlineLevel="1">
      <c r="B48" s="33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</row>
    <row r="49" spans="2:20" s="84" customFormat="1" ht="18" customHeight="1" outlineLevel="1">
      <c r="B49" s="33" t="s">
        <v>252</v>
      </c>
      <c r="C49" s="34"/>
      <c r="D49" s="35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 s="84" customFormat="1" ht="18" customHeight="1" outlineLevel="1">
      <c r="B50" s="94">
        <v>2.2999999999999998</v>
      </c>
      <c r="C50" s="34" t="s">
        <v>225</v>
      </c>
      <c r="D50" s="100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</row>
    <row r="51" spans="2:20" s="84" customFormat="1" ht="18" customHeight="1" outlineLevel="1">
      <c r="B51" s="94" t="s">
        <v>226</v>
      </c>
      <c r="C51" s="47" t="s">
        <v>227</v>
      </c>
      <c r="D51" s="100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</row>
    <row r="52" spans="2:20" s="84" customFormat="1" ht="18" customHeight="1" outlineLevel="1">
      <c r="B52" s="94" t="s">
        <v>228</v>
      </c>
      <c r="C52" s="47" t="s">
        <v>229</v>
      </c>
      <c r="D52" s="10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</row>
    <row r="53" spans="2:20" s="84" customFormat="1" ht="18" customHeight="1" outlineLevel="1">
      <c r="B53" s="94" t="s">
        <v>230</v>
      </c>
      <c r="C53" s="47" t="s">
        <v>231</v>
      </c>
      <c r="D53" s="100"/>
      <c r="E53" s="111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</row>
    <row r="54" spans="2:20" s="84" customFormat="1" ht="18" customHeight="1" outlineLevel="1">
      <c r="B54" s="94" t="s">
        <v>232</v>
      </c>
      <c r="C54" s="47" t="s">
        <v>233</v>
      </c>
      <c r="D54" s="100"/>
      <c r="E54" s="111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</row>
    <row r="55" spans="2:20" s="84" customFormat="1" ht="18" customHeight="1">
      <c r="B55" s="87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</row>
    <row r="56" spans="2:20" s="84" customFormat="1" ht="18" customHeight="1">
      <c r="B56" s="87"/>
    </row>
    <row r="57" spans="2:20" s="84" customFormat="1" ht="18" customHeight="1">
      <c r="B57" s="87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</row>
  </sheetData>
  <mergeCells count="1">
    <mergeCell ref="B1:B2"/>
  </mergeCells>
  <phoneticPr fontId="42" type="noConversion"/>
  <conditionalFormatting sqref="K30">
    <cfRule type="cellIs" dxfId="11" priority="1" operator="lessThan">
      <formula>0</formula>
    </cfRule>
    <cfRule type="cellIs" dxfId="10" priority="2" operator="greaterThan">
      <formula>0</formula>
    </cfRule>
    <cfRule type="cellIs" dxfId="9" priority="3" operator="greaterThan">
      <formula>0</formula>
    </cfRule>
    <cfRule type="cellIs" dxfId="8" priority="4" operator="lessThan">
      <formula>0</formula>
    </cfRule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D30:J30 L30:T30">
    <cfRule type="cellIs" dxfId="5" priority="7" operator="lessThan">
      <formula>0</formula>
    </cfRule>
    <cfRule type="cellIs" dxfId="4" priority="8" operator="greaterThan">
      <formula>0</formula>
    </cfRule>
    <cfRule type="cellIs" dxfId="3" priority="9" operator="greaterThan">
      <formula>0</formula>
    </cfRule>
    <cfRule type="cellIs" dxfId="2" priority="10" operator="lessThan">
      <formula>0</formula>
    </cfRule>
    <cfRule type="cellIs" dxfId="1" priority="11" operator="lessThan">
      <formula>0</formula>
    </cfRule>
    <cfRule type="cellIs" dxfId="0" priority="12" operator="greaterThan">
      <formula>0</formula>
    </cfRule>
  </conditionalFormatting>
  <hyperlinks>
    <hyperlink ref="A1" location="目录!B4" display="回到首页" xr:uid="{00000000-0004-0000-0500-000000000000}"/>
  </hyperlinks>
  <pageMargins left="0.25" right="0.25" top="0.75" bottom="0.75" header="0.3" footer="0.3"/>
  <pageSetup paperSize="8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U57"/>
  <sheetViews>
    <sheetView topLeftCell="A8" workbookViewId="0">
      <selection activeCell="T19" sqref="T19"/>
    </sheetView>
  </sheetViews>
  <sheetFormatPr defaultColWidth="8.88671875" defaultRowHeight="15" customHeight="1"/>
  <cols>
    <col min="1" max="1" width="6.44140625" style="53" customWidth="1"/>
    <col min="2" max="2" width="8.44140625" style="53" customWidth="1"/>
    <col min="3" max="3" width="10.109375" style="53" customWidth="1"/>
    <col min="4" max="4" width="16.77734375" style="53" customWidth="1"/>
    <col min="5" max="5" width="8.21875" style="53" customWidth="1"/>
    <col min="6" max="6" width="16" style="53" customWidth="1"/>
    <col min="7" max="21" width="16.21875" style="53" customWidth="1"/>
    <col min="22" max="16384" width="8.88671875" style="53"/>
  </cols>
  <sheetData>
    <row r="1" spans="1:21" ht="14.4">
      <c r="A1" s="261"/>
      <c r="B1" s="262" t="s">
        <v>2</v>
      </c>
      <c r="C1" s="54" t="s">
        <v>187</v>
      </c>
      <c r="D1" s="262" t="s">
        <v>253</v>
      </c>
      <c r="E1" s="54" t="s">
        <v>208</v>
      </c>
      <c r="F1" s="54" t="s">
        <v>209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1" ht="37.5" customHeight="1">
      <c r="A2" s="261"/>
      <c r="B2" s="262"/>
      <c r="C2" s="54" t="s">
        <v>254</v>
      </c>
      <c r="D2" s="262"/>
      <c r="E2" s="54">
        <v>1</v>
      </c>
      <c r="F2" s="54">
        <v>0</v>
      </c>
      <c r="G2" s="56">
        <v>1</v>
      </c>
      <c r="H2" s="56">
        <v>2</v>
      </c>
      <c r="I2" s="56">
        <v>3</v>
      </c>
      <c r="J2" s="56">
        <v>4</v>
      </c>
      <c r="K2" s="56">
        <v>5</v>
      </c>
      <c r="L2" s="56">
        <v>6</v>
      </c>
      <c r="M2" s="56">
        <v>7</v>
      </c>
      <c r="N2" s="56">
        <v>8</v>
      </c>
      <c r="O2" s="56">
        <v>9</v>
      </c>
      <c r="P2" s="56">
        <v>10</v>
      </c>
      <c r="Q2" s="56">
        <v>11</v>
      </c>
      <c r="R2" s="56">
        <v>12</v>
      </c>
      <c r="S2" s="56">
        <v>13</v>
      </c>
      <c r="T2" s="56">
        <v>14</v>
      </c>
      <c r="U2" s="56">
        <v>15</v>
      </c>
    </row>
    <row r="3" spans="1:21" ht="43.2">
      <c r="B3" s="56">
        <v>1</v>
      </c>
      <c r="C3" s="57" t="s">
        <v>255</v>
      </c>
      <c r="D3" s="58">
        <f>SUM(G3:U3)</f>
        <v>10864223.56196855</v>
      </c>
      <c r="E3" s="58"/>
      <c r="F3" s="58"/>
      <c r="G3" s="58">
        <f>盈利模式!D63</f>
        <v>867185.16503621498</v>
      </c>
      <c r="H3" s="58">
        <f>盈利模式!D64</f>
        <v>846770.3658593134</v>
      </c>
      <c r="I3" s="58">
        <f>盈利模式!D65</f>
        <v>826355.56668241171</v>
      </c>
      <c r="J3" s="58">
        <f>盈利模式!D66</f>
        <v>805940.76750551001</v>
      </c>
      <c r="K3" s="58">
        <f>盈利模式!D67</f>
        <v>785525.96832860832</v>
      </c>
      <c r="L3" s="58">
        <f>盈利模式!D68</f>
        <v>765111.16915170662</v>
      </c>
      <c r="M3" s="58">
        <f>盈利模式!D69</f>
        <v>744696.36997480493</v>
      </c>
      <c r="N3" s="58">
        <f>盈利模式!D70</f>
        <v>724281.57079790323</v>
      </c>
      <c r="O3" s="58">
        <f>盈利模式!D71</f>
        <v>703866.77162100154</v>
      </c>
      <c r="P3" s="58">
        <f>盈利模式!D72</f>
        <v>683451.97244409996</v>
      </c>
      <c r="Q3" s="58">
        <f>盈利模式!D73</f>
        <v>663037.17326719814</v>
      </c>
      <c r="R3" s="58">
        <f>盈利模式!D74</f>
        <v>642622.37409029645</v>
      </c>
      <c r="S3" s="58">
        <f>盈利模式!D75</f>
        <v>622207.57491339487</v>
      </c>
      <c r="T3" s="58">
        <f>盈利模式!D76</f>
        <v>601792.77573649306</v>
      </c>
      <c r="U3" s="58">
        <f>盈利模式!D77</f>
        <v>581377.97655959148</v>
      </c>
    </row>
    <row r="4" spans="1:21" ht="43.2">
      <c r="B4" s="56">
        <v>1</v>
      </c>
      <c r="C4" s="57" t="s">
        <v>256</v>
      </c>
      <c r="D4" s="58">
        <f t="shared" ref="D4:D11" si="0">SUM(G4:U4)</f>
        <v>9614357.1344854422</v>
      </c>
      <c r="E4" s="58"/>
      <c r="F4" s="58"/>
      <c r="G4" s="58">
        <f t="shared" ref="G4:R4" si="1">SUM(G3/1.13)</f>
        <v>767420.50003204867</v>
      </c>
      <c r="H4" s="58">
        <f t="shared" si="1"/>
        <v>749354.30607018888</v>
      </c>
      <c r="I4" s="58">
        <f t="shared" si="1"/>
        <v>731288.11210832896</v>
      </c>
      <c r="J4" s="58">
        <f t="shared" si="1"/>
        <v>713221.91814646905</v>
      </c>
      <c r="K4" s="58">
        <f t="shared" si="1"/>
        <v>695155.72418460925</v>
      </c>
      <c r="L4" s="58">
        <f t="shared" si="1"/>
        <v>677089.53022274934</v>
      </c>
      <c r="M4" s="58">
        <f t="shared" si="1"/>
        <v>659023.33626088942</v>
      </c>
      <c r="N4" s="58">
        <f t="shared" si="1"/>
        <v>640957.14229902951</v>
      </c>
      <c r="O4" s="58">
        <f t="shared" si="1"/>
        <v>622890.9483371696</v>
      </c>
      <c r="P4" s="58">
        <f t="shared" si="1"/>
        <v>604824.7543753098</v>
      </c>
      <c r="Q4" s="58">
        <f t="shared" si="1"/>
        <v>586758.56041344977</v>
      </c>
      <c r="R4" s="58">
        <f t="shared" si="1"/>
        <v>568692.36645158986</v>
      </c>
      <c r="S4" s="58">
        <f t="shared" ref="S4:U4" si="2">SUM(S3/1.13)</f>
        <v>550626.17248973006</v>
      </c>
      <c r="T4" s="58">
        <f t="shared" si="2"/>
        <v>532559.97852787003</v>
      </c>
      <c r="U4" s="58">
        <f t="shared" si="2"/>
        <v>514493.78456601023</v>
      </c>
    </row>
    <row r="5" spans="1:21" ht="28.8">
      <c r="B5" s="56">
        <v>2</v>
      </c>
      <c r="C5" s="57" t="s">
        <v>257</v>
      </c>
      <c r="D5" s="58">
        <f t="shared" si="0"/>
        <v>0</v>
      </c>
      <c r="E5" s="58"/>
      <c r="F5" s="58"/>
      <c r="G5" s="58">
        <f>盈利模式!C63/1.13</f>
        <v>0</v>
      </c>
      <c r="H5" s="58">
        <f>盈利模式!C64/1.13</f>
        <v>0</v>
      </c>
      <c r="I5" s="58">
        <f>盈利模式!C65/1.13</f>
        <v>0</v>
      </c>
      <c r="J5" s="58">
        <f>盈利模式!C66/1.13</f>
        <v>0</v>
      </c>
      <c r="K5" s="58">
        <f>盈利模式!C67/1.13</f>
        <v>0</v>
      </c>
      <c r="L5" s="58">
        <f>盈利模式!C68/1.13</f>
        <v>0</v>
      </c>
      <c r="M5" s="58">
        <f>盈利模式!C69/1.13</f>
        <v>0</v>
      </c>
      <c r="N5" s="58">
        <f>盈利模式!C70/1.13</f>
        <v>0</v>
      </c>
      <c r="O5" s="58">
        <f>盈利模式!C71/1.13</f>
        <v>0</v>
      </c>
      <c r="P5" s="58">
        <f>盈利模式!C72/1.13</f>
        <v>0</v>
      </c>
      <c r="Q5" s="58">
        <f>盈利模式!C73/1.13</f>
        <v>0</v>
      </c>
      <c r="R5" s="58">
        <f>盈利模式!C74/1.13</f>
        <v>0</v>
      </c>
      <c r="S5" s="58">
        <f>盈利模式!C75/1.13</f>
        <v>0</v>
      </c>
      <c r="T5" s="58">
        <f>盈利模式!C76/1.13</f>
        <v>0</v>
      </c>
      <c r="U5" s="58">
        <f>盈利模式!C77/1.13</f>
        <v>0</v>
      </c>
    </row>
    <row r="6" spans="1:21" ht="28.8">
      <c r="B6" s="59">
        <v>3</v>
      </c>
      <c r="C6" s="60" t="s">
        <v>258</v>
      </c>
      <c r="D6" s="58">
        <f t="shared" si="0"/>
        <v>12988.593414706142</v>
      </c>
      <c r="E6" s="61"/>
      <c r="F6" s="61"/>
      <c r="G6" s="61">
        <f>SUM(G7:G8)</f>
        <v>0</v>
      </c>
      <c r="H6" s="61">
        <f t="shared" ref="H6:R6" si="3">SUM(H7:H8)</f>
        <v>0</v>
      </c>
      <c r="I6" s="61">
        <f t="shared" si="3"/>
        <v>0</v>
      </c>
      <c r="J6" s="61">
        <f t="shared" si="3"/>
        <v>0</v>
      </c>
      <c r="K6" s="61">
        <f t="shared" si="3"/>
        <v>0</v>
      </c>
      <c r="L6" s="61">
        <f t="shared" si="3"/>
        <v>0</v>
      </c>
      <c r="M6" s="61">
        <f t="shared" si="3"/>
        <v>0</v>
      </c>
      <c r="N6" s="61">
        <f t="shared" si="3"/>
        <v>-49112.613001807491</v>
      </c>
      <c r="O6" s="61">
        <f t="shared" si="3"/>
        <v>9717.0987940598479</v>
      </c>
      <c r="P6" s="61">
        <f t="shared" si="3"/>
        <v>9435.2661682548332</v>
      </c>
      <c r="Q6" s="61">
        <f t="shared" si="3"/>
        <v>9153.4335424498186</v>
      </c>
      <c r="R6" s="61">
        <f t="shared" si="3"/>
        <v>8871.6009166448021</v>
      </c>
      <c r="S6" s="61">
        <f t="shared" ref="S6:U6" si="4">SUM(S7:S8)</f>
        <v>8589.768290839791</v>
      </c>
      <c r="T6" s="61">
        <f t="shared" si="4"/>
        <v>8307.9356650347727</v>
      </c>
      <c r="U6" s="61">
        <f t="shared" si="4"/>
        <v>8026.1030392297607</v>
      </c>
    </row>
    <row r="7" spans="1:21" ht="28.8">
      <c r="B7" s="62">
        <v>3.1</v>
      </c>
      <c r="C7" s="63" t="s">
        <v>259</v>
      </c>
      <c r="D7" s="58">
        <f t="shared" si="0"/>
        <v>7576.6794919119111</v>
      </c>
      <c r="E7" s="64"/>
      <c r="F7" s="64"/>
      <c r="G7" s="64">
        <f>SUM(G9*0.07)</f>
        <v>0</v>
      </c>
      <c r="H7" s="64">
        <f t="shared" ref="H7:R7" si="5">SUM(H9*0.07)</f>
        <v>0</v>
      </c>
      <c r="I7" s="64">
        <f t="shared" si="5"/>
        <v>0</v>
      </c>
      <c r="J7" s="64">
        <f t="shared" si="5"/>
        <v>0</v>
      </c>
      <c r="K7" s="64">
        <f t="shared" si="5"/>
        <v>0</v>
      </c>
      <c r="L7" s="64">
        <f t="shared" si="5"/>
        <v>0</v>
      </c>
      <c r="M7" s="64">
        <f t="shared" si="5"/>
        <v>0</v>
      </c>
      <c r="N7" s="64">
        <f t="shared" si="5"/>
        <v>-28649.024251054372</v>
      </c>
      <c r="O7" s="64">
        <f t="shared" si="5"/>
        <v>5668.3076298682445</v>
      </c>
      <c r="P7" s="64">
        <f t="shared" si="5"/>
        <v>5503.9052648153192</v>
      </c>
      <c r="Q7" s="64">
        <f t="shared" si="5"/>
        <v>5339.502899762394</v>
      </c>
      <c r="R7" s="64">
        <f t="shared" si="5"/>
        <v>5175.1005347094679</v>
      </c>
      <c r="S7" s="64">
        <f t="shared" ref="S7:U7" si="6">SUM(S9*0.07)</f>
        <v>5010.6981696565445</v>
      </c>
      <c r="T7" s="64">
        <f t="shared" si="6"/>
        <v>4846.2958046036174</v>
      </c>
      <c r="U7" s="64">
        <f t="shared" si="6"/>
        <v>4681.893439550694</v>
      </c>
    </row>
    <row r="8" spans="1:21" ht="57.6">
      <c r="B8" s="62">
        <v>3.2</v>
      </c>
      <c r="C8" s="63" t="s">
        <v>260</v>
      </c>
      <c r="D8" s="58">
        <f t="shared" si="0"/>
        <v>5411.9139227942214</v>
      </c>
      <c r="E8" s="64"/>
      <c r="F8" s="64"/>
      <c r="G8" s="64">
        <f>SUM(G9*0.05)</f>
        <v>0</v>
      </c>
      <c r="H8" s="64">
        <f t="shared" ref="H8:U8" si="7">SUM(H9*0.05)</f>
        <v>0</v>
      </c>
      <c r="I8" s="64">
        <f t="shared" si="7"/>
        <v>0</v>
      </c>
      <c r="J8" s="64">
        <f t="shared" si="7"/>
        <v>0</v>
      </c>
      <c r="K8" s="64">
        <f t="shared" si="7"/>
        <v>0</v>
      </c>
      <c r="L8" s="64">
        <f t="shared" si="7"/>
        <v>0</v>
      </c>
      <c r="M8" s="64">
        <f t="shared" si="7"/>
        <v>0</v>
      </c>
      <c r="N8" s="64">
        <f t="shared" si="7"/>
        <v>-20463.588750753122</v>
      </c>
      <c r="O8" s="64">
        <f t="shared" si="7"/>
        <v>4048.791164191603</v>
      </c>
      <c r="P8" s="64">
        <f t="shared" si="7"/>
        <v>3931.360903439514</v>
      </c>
      <c r="Q8" s="64">
        <f t="shared" si="7"/>
        <v>3813.9306426874241</v>
      </c>
      <c r="R8" s="64">
        <f t="shared" si="7"/>
        <v>3696.5003819353342</v>
      </c>
      <c r="S8" s="64">
        <f t="shared" si="7"/>
        <v>3579.0701211832456</v>
      </c>
      <c r="T8" s="64">
        <f t="shared" si="7"/>
        <v>3461.6398604311553</v>
      </c>
      <c r="U8" s="64">
        <f t="shared" si="7"/>
        <v>3344.2095996790667</v>
      </c>
    </row>
    <row r="9" spans="1:21" ht="28.8">
      <c r="B9" s="55" t="s">
        <v>261</v>
      </c>
      <c r="C9" s="57" t="s">
        <v>262</v>
      </c>
      <c r="D9" s="58">
        <f t="shared" si="0"/>
        <v>108238.27845588443</v>
      </c>
      <c r="E9" s="58"/>
      <c r="F9" s="58"/>
      <c r="G9" s="58">
        <f>SUM(G10:G11)</f>
        <v>0</v>
      </c>
      <c r="H9" s="58">
        <f t="shared" ref="H9:R9" si="8">SUM(H10:H11)</f>
        <v>0</v>
      </c>
      <c r="I9" s="58">
        <f t="shared" si="8"/>
        <v>0</v>
      </c>
      <c r="J9" s="58">
        <f t="shared" si="8"/>
        <v>0</v>
      </c>
      <c r="K9" s="58">
        <f t="shared" si="8"/>
        <v>0</v>
      </c>
      <c r="L9" s="58">
        <f t="shared" si="8"/>
        <v>0</v>
      </c>
      <c r="M9" s="58">
        <f t="shared" si="8"/>
        <v>0</v>
      </c>
      <c r="N9" s="58">
        <f t="shared" si="8"/>
        <v>-409271.77501506242</v>
      </c>
      <c r="O9" s="58">
        <f t="shared" si="8"/>
        <v>80975.823283832055</v>
      </c>
      <c r="P9" s="58">
        <f t="shared" si="8"/>
        <v>78627.218068790273</v>
      </c>
      <c r="Q9" s="58">
        <f t="shared" si="8"/>
        <v>76278.612853748476</v>
      </c>
      <c r="R9" s="58">
        <f t="shared" si="8"/>
        <v>73930.00763870668</v>
      </c>
      <c r="S9" s="58">
        <f t="shared" ref="S9:U9" si="9">SUM(S10:S11)</f>
        <v>71581.402423664913</v>
      </c>
      <c r="T9" s="58">
        <f t="shared" si="9"/>
        <v>69232.797208623102</v>
      </c>
      <c r="U9" s="58">
        <f t="shared" si="9"/>
        <v>66884.191993581335</v>
      </c>
    </row>
    <row r="10" spans="1:21" ht="57.6">
      <c r="B10" s="55" t="s">
        <v>263</v>
      </c>
      <c r="C10" s="57" t="s">
        <v>264</v>
      </c>
      <c r="D10" s="58">
        <f t="shared" si="0"/>
        <v>1249866.4274831074</v>
      </c>
      <c r="E10" s="58"/>
      <c r="F10" s="58">
        <f>(D4-D5)*0.13</f>
        <v>1249866.4274831074</v>
      </c>
      <c r="G10" s="58">
        <f>(G4-G5)*0.13</f>
        <v>99764.665004166338</v>
      </c>
      <c r="H10" s="58">
        <f t="shared" ref="H10:R10" si="10">(H4-H5)*0.13</f>
        <v>97416.059789124556</v>
      </c>
      <c r="I10" s="58">
        <f t="shared" si="10"/>
        <v>95067.454574082774</v>
      </c>
      <c r="J10" s="58">
        <f t="shared" si="10"/>
        <v>92718.849359040978</v>
      </c>
      <c r="K10" s="58">
        <f t="shared" si="10"/>
        <v>90370.244143999211</v>
      </c>
      <c r="L10" s="58">
        <f t="shared" si="10"/>
        <v>88021.638928957414</v>
      </c>
      <c r="M10" s="58">
        <f t="shared" si="10"/>
        <v>85673.033713915633</v>
      </c>
      <c r="N10" s="58">
        <f t="shared" si="10"/>
        <v>83324.428498873836</v>
      </c>
      <c r="O10" s="58">
        <f t="shared" si="10"/>
        <v>80975.823283832055</v>
      </c>
      <c r="P10" s="58">
        <f t="shared" si="10"/>
        <v>78627.218068790273</v>
      </c>
      <c r="Q10" s="58">
        <f t="shared" si="10"/>
        <v>76278.612853748476</v>
      </c>
      <c r="R10" s="58">
        <f t="shared" si="10"/>
        <v>73930.00763870668</v>
      </c>
      <c r="S10" s="58">
        <f t="shared" ref="S10:U10" si="11">(S4-S5)*0.13</f>
        <v>71581.402423664913</v>
      </c>
      <c r="T10" s="58">
        <f t="shared" si="11"/>
        <v>69232.797208623102</v>
      </c>
      <c r="U10" s="58">
        <f t="shared" si="11"/>
        <v>66884.191993581335</v>
      </c>
    </row>
    <row r="11" spans="1:21" ht="28.8">
      <c r="B11" s="55" t="s">
        <v>265</v>
      </c>
      <c r="C11" s="57" t="s">
        <v>266</v>
      </c>
      <c r="D11" s="58">
        <f t="shared" si="0"/>
        <v>-1141628.1490272232</v>
      </c>
      <c r="E11" s="58"/>
      <c r="F11" s="58">
        <f>SUM(投资估算!C34)*-1</f>
        <v>-1141628.149027223</v>
      </c>
      <c r="G11" s="58">
        <f>IF(-G12&gt;G10,-G10,G12)</f>
        <v>-99764.665004166338</v>
      </c>
      <c r="H11" s="58">
        <f t="shared" ref="H11:M11" si="12">IF(-H12&gt;H10,-H10,H12)</f>
        <v>-97416.059789124556</v>
      </c>
      <c r="I11" s="58">
        <f t="shared" si="12"/>
        <v>-95067.454574082774</v>
      </c>
      <c r="J11" s="58">
        <f t="shared" si="12"/>
        <v>-92718.849359040978</v>
      </c>
      <c r="K11" s="58">
        <f t="shared" si="12"/>
        <v>-90370.244143999211</v>
      </c>
      <c r="L11" s="58">
        <f t="shared" si="12"/>
        <v>-88021.638928957414</v>
      </c>
      <c r="M11" s="58">
        <f t="shared" si="12"/>
        <v>-85673.033713915633</v>
      </c>
      <c r="N11" s="58">
        <f t="shared" ref="N11:O11" si="13">N12</f>
        <v>-492596.20351393626</v>
      </c>
      <c r="O11" s="58">
        <f t="shared" si="13"/>
        <v>0</v>
      </c>
      <c r="P11" s="58"/>
      <c r="Q11" s="58"/>
      <c r="R11" s="58"/>
      <c r="S11" s="58"/>
      <c r="T11" s="58"/>
      <c r="U11" s="58"/>
    </row>
    <row r="12" spans="1:21" ht="43.2">
      <c r="B12" s="55" t="s">
        <v>267</v>
      </c>
      <c r="C12" s="57" t="s">
        <v>268</v>
      </c>
      <c r="D12" s="58">
        <f>G12</f>
        <v>-1141628.149027223</v>
      </c>
      <c r="E12" s="58"/>
      <c r="F12" s="58"/>
      <c r="G12" s="58">
        <f>SUM(投资估算!C29)*-1</f>
        <v>-1141628.149027223</v>
      </c>
      <c r="H12" s="58">
        <f t="shared" ref="H12:N12" si="14">SUM(G12-G11)</f>
        <v>-1041863.4840230567</v>
      </c>
      <c r="I12" s="58">
        <f t="shared" si="14"/>
        <v>-944447.42423393216</v>
      </c>
      <c r="J12" s="58">
        <f t="shared" si="14"/>
        <v>-849379.96965984942</v>
      </c>
      <c r="K12" s="58">
        <f t="shared" si="14"/>
        <v>-756661.12030080846</v>
      </c>
      <c r="L12" s="58">
        <f t="shared" si="14"/>
        <v>-666290.87615680927</v>
      </c>
      <c r="M12" s="58">
        <f t="shared" si="14"/>
        <v>-578269.23722785187</v>
      </c>
      <c r="N12" s="58">
        <f t="shared" si="14"/>
        <v>-492596.20351393626</v>
      </c>
      <c r="O12" s="58"/>
      <c r="P12" s="58"/>
      <c r="Q12" s="58"/>
      <c r="R12" s="58"/>
      <c r="S12" s="58"/>
      <c r="T12" s="58"/>
      <c r="U12" s="58"/>
    </row>
    <row r="13" spans="1:21" ht="57.6">
      <c r="B13" s="55" t="s">
        <v>269</v>
      </c>
      <c r="C13" s="57" t="s">
        <v>270</v>
      </c>
      <c r="D13" s="58">
        <f>SUM(G13:U13)</f>
        <v>-5329508.3151162444</v>
      </c>
      <c r="E13" s="58"/>
      <c r="F13" s="58"/>
      <c r="G13" s="58">
        <f>SUM(G12-G11)</f>
        <v>-1041863.4840230567</v>
      </c>
      <c r="H13" s="58">
        <f t="shared" ref="H13:R13" si="15">SUM(H12-H11)</f>
        <v>-944447.42423393216</v>
      </c>
      <c r="I13" s="58">
        <f t="shared" si="15"/>
        <v>-849379.96965984942</v>
      </c>
      <c r="J13" s="58">
        <f t="shared" si="15"/>
        <v>-756661.12030080846</v>
      </c>
      <c r="K13" s="58">
        <f t="shared" si="15"/>
        <v>-666290.87615680927</v>
      </c>
      <c r="L13" s="58">
        <f t="shared" si="15"/>
        <v>-578269.23722785187</v>
      </c>
      <c r="M13" s="58">
        <f t="shared" si="15"/>
        <v>-492596.20351393626</v>
      </c>
      <c r="N13" s="58">
        <f t="shared" si="15"/>
        <v>0</v>
      </c>
      <c r="O13" s="58">
        <f t="shared" si="15"/>
        <v>0</v>
      </c>
      <c r="P13" s="58">
        <f t="shared" si="15"/>
        <v>0</v>
      </c>
      <c r="Q13" s="58">
        <f t="shared" si="15"/>
        <v>0</v>
      </c>
      <c r="R13" s="58">
        <f t="shared" si="15"/>
        <v>0</v>
      </c>
      <c r="S13" s="58">
        <f t="shared" ref="S13:U13" si="16">SUM(S12-S11)</f>
        <v>0</v>
      </c>
      <c r="T13" s="58">
        <f t="shared" si="16"/>
        <v>0</v>
      </c>
      <c r="U13" s="58">
        <f t="shared" si="16"/>
        <v>0</v>
      </c>
    </row>
    <row r="14" spans="1:21" ht="28.8">
      <c r="B14" s="56">
        <v>4</v>
      </c>
      <c r="C14" s="57" t="s">
        <v>271</v>
      </c>
      <c r="D14" s="58">
        <f>SUM(D4-D5-D6)</f>
        <v>9601368.5410707369</v>
      </c>
      <c r="E14" s="58">
        <f t="shared" ref="E14:R14" si="17">SUM(E4-E5-E6)</f>
        <v>0</v>
      </c>
      <c r="F14" s="58">
        <f t="shared" si="17"/>
        <v>0</v>
      </c>
      <c r="G14" s="58">
        <f t="shared" si="17"/>
        <v>767420.50003204867</v>
      </c>
      <c r="H14" s="58">
        <f t="shared" si="17"/>
        <v>749354.30607018888</v>
      </c>
      <c r="I14" s="58">
        <f t="shared" si="17"/>
        <v>731288.11210832896</v>
      </c>
      <c r="J14" s="58">
        <f t="shared" si="17"/>
        <v>713221.91814646905</v>
      </c>
      <c r="K14" s="58">
        <f t="shared" si="17"/>
        <v>695155.72418460925</v>
      </c>
      <c r="L14" s="58">
        <f t="shared" si="17"/>
        <v>677089.53022274934</v>
      </c>
      <c r="M14" s="58">
        <f t="shared" si="17"/>
        <v>659023.33626088942</v>
      </c>
      <c r="N14" s="58">
        <f t="shared" si="17"/>
        <v>690069.75530083699</v>
      </c>
      <c r="O14" s="58">
        <f t="shared" si="17"/>
        <v>613173.84954310977</v>
      </c>
      <c r="P14" s="58">
        <f t="shared" si="17"/>
        <v>595389.48820705502</v>
      </c>
      <c r="Q14" s="58">
        <f t="shared" si="17"/>
        <v>577605.12687099993</v>
      </c>
      <c r="R14" s="58">
        <f t="shared" si="17"/>
        <v>559820.76553494507</v>
      </c>
      <c r="S14" s="58">
        <f t="shared" ref="S14:U14" si="18">SUM(S4-S5-S6)</f>
        <v>542036.40419889032</v>
      </c>
      <c r="T14" s="58">
        <f t="shared" si="18"/>
        <v>524252.04286283528</v>
      </c>
      <c r="U14" s="58">
        <f t="shared" si="18"/>
        <v>506467.68152678048</v>
      </c>
    </row>
    <row r="15" spans="1:21" ht="28.8">
      <c r="B15" s="56">
        <v>5</v>
      </c>
      <c r="C15" s="57" t="s">
        <v>272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1" ht="28.8">
      <c r="B16" s="56">
        <v>6</v>
      </c>
      <c r="C16" s="57" t="s">
        <v>273</v>
      </c>
      <c r="D16" s="58">
        <f>SUM(G16:U16)</f>
        <v>9051274.3557499927</v>
      </c>
      <c r="E16" s="58"/>
      <c r="F16" s="58"/>
      <c r="G16" s="58">
        <f t="shared" ref="G16:R16" si="19">SUM(G17+G23)</f>
        <v>598824.70473151852</v>
      </c>
      <c r="H16" s="58">
        <f t="shared" si="19"/>
        <v>599425.58793151844</v>
      </c>
      <c r="I16" s="58">
        <f t="shared" si="19"/>
        <v>600038.48879551853</v>
      </c>
      <c r="J16" s="58">
        <f t="shared" si="19"/>
        <v>600663.64767679852</v>
      </c>
      <c r="K16" s="58">
        <f t="shared" si="19"/>
        <v>601301.3097357041</v>
      </c>
      <c r="L16" s="58">
        <f t="shared" si="19"/>
        <v>601951.72503578779</v>
      </c>
      <c r="M16" s="58">
        <f t="shared" si="19"/>
        <v>602615.14864187315</v>
      </c>
      <c r="N16" s="58">
        <f t="shared" si="19"/>
        <v>603291.8407200803</v>
      </c>
      <c r="O16" s="58">
        <f t="shared" si="19"/>
        <v>603982.06663985155</v>
      </c>
      <c r="P16" s="58">
        <f t="shared" si="19"/>
        <v>604686.09707801812</v>
      </c>
      <c r="Q16" s="58">
        <f t="shared" si="19"/>
        <v>605404.2081249482</v>
      </c>
      <c r="R16" s="58">
        <f t="shared" si="19"/>
        <v>606136.68139281671</v>
      </c>
      <c r="S16" s="58">
        <f t="shared" ref="S16:U16" si="20">SUM(S17+S23)</f>
        <v>606883.80412604276</v>
      </c>
      <c r="T16" s="58">
        <f t="shared" si="20"/>
        <v>607645.86931393319</v>
      </c>
      <c r="U16" s="58">
        <f t="shared" si="20"/>
        <v>608423.1758055815</v>
      </c>
    </row>
    <row r="17" spans="2:21" ht="15" customHeight="1">
      <c r="B17" s="65">
        <v>6.1</v>
      </c>
      <c r="C17" s="66" t="s">
        <v>274</v>
      </c>
      <c r="D17" s="58">
        <f t="shared" ref="D17:D26" si="21">SUM(G17:U17)</f>
        <v>8531708.1709727757</v>
      </c>
      <c r="E17" s="67"/>
      <c r="F17" s="67"/>
      <c r="G17" s="67">
        <f>SUM(G18:G22)</f>
        <v>568780.54473151849</v>
      </c>
      <c r="H17" s="67">
        <f t="shared" ref="H17:R17" si="22">SUM(H18:H22)</f>
        <v>568780.54473151849</v>
      </c>
      <c r="I17" s="67">
        <f t="shared" si="22"/>
        <v>568780.54473151849</v>
      </c>
      <c r="J17" s="67">
        <f t="shared" si="22"/>
        <v>568780.54473151849</v>
      </c>
      <c r="K17" s="67">
        <f t="shared" si="22"/>
        <v>568780.54473151849</v>
      </c>
      <c r="L17" s="67">
        <f t="shared" si="22"/>
        <v>568780.54473151849</v>
      </c>
      <c r="M17" s="67">
        <f t="shared" si="22"/>
        <v>568780.54473151849</v>
      </c>
      <c r="N17" s="67">
        <f t="shared" si="22"/>
        <v>568780.54473151849</v>
      </c>
      <c r="O17" s="67">
        <f t="shared" si="22"/>
        <v>568780.54473151849</v>
      </c>
      <c r="P17" s="67">
        <f t="shared" si="22"/>
        <v>568780.54473151849</v>
      </c>
      <c r="Q17" s="67">
        <f t="shared" si="22"/>
        <v>568780.54473151849</v>
      </c>
      <c r="R17" s="67">
        <f t="shared" si="22"/>
        <v>568780.54473151849</v>
      </c>
      <c r="S17" s="67">
        <f t="shared" ref="S17:U17" si="23">SUM(S18:S22)</f>
        <v>568780.54473151849</v>
      </c>
      <c r="T17" s="67">
        <f t="shared" si="23"/>
        <v>568780.54473151849</v>
      </c>
      <c r="U17" s="67">
        <f t="shared" si="23"/>
        <v>568780.54473151849</v>
      </c>
    </row>
    <row r="18" spans="2:21" ht="14.4">
      <c r="B18" s="68" t="s">
        <v>275</v>
      </c>
      <c r="C18" s="69" t="s">
        <v>276</v>
      </c>
      <c r="D18" s="58">
        <f t="shared" si="21"/>
        <v>8531708.1709727757</v>
      </c>
      <c r="E18" s="70"/>
      <c r="F18" s="70"/>
      <c r="G18" s="70">
        <f>SUM(投资估算!C36/15)</f>
        <v>568780.54473151849</v>
      </c>
      <c r="H18" s="70">
        <f>SUM(投资估算!C36/15)</f>
        <v>568780.54473151849</v>
      </c>
      <c r="I18" s="70">
        <f>SUM(投资估算!C36/15)</f>
        <v>568780.54473151849</v>
      </c>
      <c r="J18" s="70">
        <f>SUM(投资估算!C36/15)</f>
        <v>568780.54473151849</v>
      </c>
      <c r="K18" s="70">
        <f>SUM(投资估算!C36/15)</f>
        <v>568780.54473151849</v>
      </c>
      <c r="L18" s="70">
        <f>SUM(投资估算!C36/15)</f>
        <v>568780.54473151849</v>
      </c>
      <c r="M18" s="70">
        <f>SUM(投资估算!C36/15)</f>
        <v>568780.54473151849</v>
      </c>
      <c r="N18" s="70">
        <f>SUM(投资估算!C36/15)</f>
        <v>568780.54473151849</v>
      </c>
      <c r="O18" s="70">
        <f>SUM(投资估算!C36/15)</f>
        <v>568780.54473151849</v>
      </c>
      <c r="P18" s="70">
        <f>SUM(投资估算!C36/15)</f>
        <v>568780.54473151849</v>
      </c>
      <c r="Q18" s="70">
        <f>SUM(投资估算!C36/15)</f>
        <v>568780.54473151849</v>
      </c>
      <c r="R18" s="70">
        <f>SUM(投资估算!C36/15)</f>
        <v>568780.54473151849</v>
      </c>
      <c r="S18" s="70">
        <f>SUM(投资估算!C36/15)</f>
        <v>568780.54473151849</v>
      </c>
      <c r="T18" s="70">
        <f>SUM(投资估算!C36/15)</f>
        <v>568780.54473151849</v>
      </c>
      <c r="U18" s="70">
        <f>SUM(投资估算!C36/15)</f>
        <v>568780.54473151849</v>
      </c>
    </row>
    <row r="19" spans="2:21" ht="57.6">
      <c r="B19" s="68" t="s">
        <v>277</v>
      </c>
      <c r="C19" s="69" t="s">
        <v>278</v>
      </c>
      <c r="D19" s="58">
        <f t="shared" si="21"/>
        <v>0</v>
      </c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</row>
    <row r="20" spans="2:21" ht="14.4">
      <c r="B20" s="68" t="s">
        <v>279</v>
      </c>
      <c r="C20" s="69" t="s">
        <v>280</v>
      </c>
      <c r="D20" s="58">
        <f t="shared" si="21"/>
        <v>0</v>
      </c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</row>
    <row r="21" spans="2:21" ht="15" customHeight="1">
      <c r="B21" s="68" t="s">
        <v>281</v>
      </c>
      <c r="C21" s="69" t="s">
        <v>282</v>
      </c>
      <c r="D21" s="58">
        <f t="shared" si="21"/>
        <v>0</v>
      </c>
      <c r="E21" s="70"/>
      <c r="F21" s="70"/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/>
      <c r="T21" s="70"/>
      <c r="U21" s="70"/>
    </row>
    <row r="22" spans="2:21" ht="28.5" customHeight="1">
      <c r="B22" s="68" t="s">
        <v>283</v>
      </c>
      <c r="C22" s="69" t="s">
        <v>284</v>
      </c>
      <c r="D22" s="58">
        <f t="shared" si="21"/>
        <v>0</v>
      </c>
      <c r="E22" s="70"/>
      <c r="F22" s="70"/>
      <c r="G22" s="70">
        <f>借款!B6</f>
        <v>0</v>
      </c>
      <c r="H22" s="70">
        <f>借款!C6</f>
        <v>0</v>
      </c>
      <c r="I22" s="70">
        <f>借款!D6</f>
        <v>0</v>
      </c>
      <c r="J22" s="70">
        <f>借款!E6</f>
        <v>0</v>
      </c>
      <c r="K22" s="70">
        <f>借款!F6</f>
        <v>0</v>
      </c>
      <c r="L22" s="70">
        <f>借款!G6</f>
        <v>0</v>
      </c>
      <c r="M22" s="70">
        <f>借款!H6</f>
        <v>0</v>
      </c>
      <c r="N22" s="70">
        <f>借款!I6</f>
        <v>0</v>
      </c>
      <c r="O22" s="70">
        <f>借款!J6</f>
        <v>0</v>
      </c>
      <c r="P22" s="70">
        <f>借款!K6</f>
        <v>0</v>
      </c>
      <c r="Q22" s="70"/>
      <c r="R22" s="70"/>
      <c r="S22" s="70"/>
      <c r="T22" s="70"/>
      <c r="U22" s="70"/>
    </row>
    <row r="23" spans="2:21" ht="14.4">
      <c r="B23" s="71">
        <v>6.2</v>
      </c>
      <c r="C23" s="72" t="s">
        <v>285</v>
      </c>
      <c r="D23" s="58">
        <f t="shared" si="21"/>
        <v>519566.18477721396</v>
      </c>
      <c r="E23" s="73">
        <f t="shared" ref="E23:R23" si="24">SUM(E24:E26)</f>
        <v>0</v>
      </c>
      <c r="F23" s="73">
        <f t="shared" si="24"/>
        <v>0</v>
      </c>
      <c r="G23" s="73">
        <f t="shared" si="24"/>
        <v>30044.16</v>
      </c>
      <c r="H23" s="73">
        <f t="shared" si="24"/>
        <v>30645.0432</v>
      </c>
      <c r="I23" s="73">
        <f t="shared" si="24"/>
        <v>31257.944063999999</v>
      </c>
      <c r="J23" s="73">
        <f t="shared" si="24"/>
        <v>31883.102945279999</v>
      </c>
      <c r="K23" s="73">
        <f t="shared" si="24"/>
        <v>32520.7650041856</v>
      </c>
      <c r="L23" s="73">
        <f t="shared" si="24"/>
        <v>33171.180304269314</v>
      </c>
      <c r="M23" s="73">
        <f t="shared" si="24"/>
        <v>33834.603910354701</v>
      </c>
      <c r="N23" s="73">
        <f t="shared" si="24"/>
        <v>34511.295988561797</v>
      </c>
      <c r="O23" s="73">
        <f t="shared" si="24"/>
        <v>35201.52190833303</v>
      </c>
      <c r="P23" s="73">
        <f t="shared" si="24"/>
        <v>35905.552346499688</v>
      </c>
      <c r="Q23" s="73">
        <f t="shared" si="24"/>
        <v>36623.663393429684</v>
      </c>
      <c r="R23" s="73">
        <f t="shared" si="24"/>
        <v>37356.136661298275</v>
      </c>
      <c r="S23" s="73">
        <f t="shared" ref="S23:U23" si="25">SUM(S24:S26)</f>
        <v>38103.259394524241</v>
      </c>
      <c r="T23" s="73">
        <f t="shared" si="25"/>
        <v>38865.324582414723</v>
      </c>
      <c r="U23" s="73">
        <f t="shared" si="25"/>
        <v>39642.631074063014</v>
      </c>
    </row>
    <row r="24" spans="2:21" ht="43.2">
      <c r="B24" s="74" t="s">
        <v>286</v>
      </c>
      <c r="C24" s="75" t="s">
        <v>287</v>
      </c>
      <c r="D24" s="58">
        <f t="shared" si="21"/>
        <v>519566.18477721396</v>
      </c>
      <c r="E24" s="76"/>
      <c r="F24" s="76"/>
      <c r="G24" s="76">
        <f>SUM(投资估算!C38)</f>
        <v>30044.16</v>
      </c>
      <c r="H24" s="76">
        <f t="shared" ref="H24:R24" si="26">SUM(G24+G24*0.02)</f>
        <v>30645.0432</v>
      </c>
      <c r="I24" s="76">
        <f t="shared" si="26"/>
        <v>31257.944063999999</v>
      </c>
      <c r="J24" s="76">
        <f t="shared" si="26"/>
        <v>31883.102945279999</v>
      </c>
      <c r="K24" s="76">
        <f t="shared" si="26"/>
        <v>32520.7650041856</v>
      </c>
      <c r="L24" s="76">
        <f t="shared" si="26"/>
        <v>33171.180304269314</v>
      </c>
      <c r="M24" s="76">
        <f t="shared" si="26"/>
        <v>33834.603910354701</v>
      </c>
      <c r="N24" s="76">
        <f t="shared" si="26"/>
        <v>34511.295988561797</v>
      </c>
      <c r="O24" s="76">
        <f t="shared" si="26"/>
        <v>35201.52190833303</v>
      </c>
      <c r="P24" s="76">
        <f t="shared" si="26"/>
        <v>35905.552346499688</v>
      </c>
      <c r="Q24" s="76">
        <f t="shared" si="26"/>
        <v>36623.663393429684</v>
      </c>
      <c r="R24" s="76">
        <f t="shared" si="26"/>
        <v>37356.136661298275</v>
      </c>
      <c r="S24" s="76">
        <f t="shared" ref="S24" si="27">SUM(R24+R24*0.02)</f>
        <v>38103.259394524241</v>
      </c>
      <c r="T24" s="76">
        <f t="shared" ref="T24" si="28">SUM(S24+S24*0.02)</f>
        <v>38865.324582414723</v>
      </c>
      <c r="U24" s="76">
        <f t="shared" ref="U24" si="29">SUM(T24+T24*0.02)</f>
        <v>39642.631074063014</v>
      </c>
    </row>
    <row r="25" spans="2:21" ht="16.5" customHeight="1">
      <c r="B25" s="74" t="s">
        <v>288</v>
      </c>
      <c r="C25" s="75" t="s">
        <v>289</v>
      </c>
      <c r="D25" s="58">
        <f t="shared" si="21"/>
        <v>0</v>
      </c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</row>
    <row r="26" spans="2:21" ht="14.4">
      <c r="B26" s="74" t="s">
        <v>290</v>
      </c>
      <c r="C26" s="75" t="s">
        <v>291</v>
      </c>
      <c r="D26" s="58">
        <f t="shared" si="21"/>
        <v>0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</row>
    <row r="27" spans="2:21" ht="24" customHeight="1">
      <c r="B27" s="56">
        <v>7</v>
      </c>
      <c r="C27" s="57" t="s">
        <v>292</v>
      </c>
      <c r="D27" s="58">
        <f>SUM(D14+D15-D16)</f>
        <v>550094.18532074429</v>
      </c>
      <c r="E27" s="58">
        <f t="shared" ref="E27:R27" si="30">SUM(E14+E15-E16)</f>
        <v>0</v>
      </c>
      <c r="F27" s="58">
        <f t="shared" si="30"/>
        <v>0</v>
      </c>
      <c r="G27" s="58">
        <f t="shared" si="30"/>
        <v>168595.79530053015</v>
      </c>
      <c r="H27" s="58">
        <f t="shared" si="30"/>
        <v>149928.71813867043</v>
      </c>
      <c r="I27" s="58">
        <f t="shared" si="30"/>
        <v>131249.62331281044</v>
      </c>
      <c r="J27" s="58">
        <f t="shared" si="30"/>
        <v>112558.27046967053</v>
      </c>
      <c r="K27" s="58">
        <f t="shared" si="30"/>
        <v>93854.414448905154</v>
      </c>
      <c r="L27" s="58">
        <f t="shared" si="30"/>
        <v>75137.805186961545</v>
      </c>
      <c r="M27" s="58">
        <f t="shared" si="30"/>
        <v>56408.187619016273</v>
      </c>
      <c r="N27" s="58">
        <f t="shared" si="30"/>
        <v>86777.914580756682</v>
      </c>
      <c r="O27" s="58">
        <f t="shared" si="30"/>
        <v>9191.7829032582231</v>
      </c>
      <c r="P27" s="58">
        <f t="shared" si="30"/>
        <v>-9296.6088709631003</v>
      </c>
      <c r="Q27" s="58">
        <f t="shared" si="30"/>
        <v>-27799.081253948272</v>
      </c>
      <c r="R27" s="58">
        <f t="shared" si="30"/>
        <v>-46315.915857871645</v>
      </c>
      <c r="S27" s="58">
        <f t="shared" ref="S27:U27" si="31">SUM(S14+S15-S16)</f>
        <v>-64847.399927152437</v>
      </c>
      <c r="T27" s="58">
        <f t="shared" si="31"/>
        <v>-83393.826451097906</v>
      </c>
      <c r="U27" s="58">
        <f t="shared" si="31"/>
        <v>-101955.49427880102</v>
      </c>
    </row>
    <row r="28" spans="2:21" ht="57.6">
      <c r="B28" s="77">
        <v>8</v>
      </c>
      <c r="C28" s="78" t="s">
        <v>293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21" ht="28.8">
      <c r="B29" s="80">
        <v>8.1</v>
      </c>
      <c r="C29" s="81" t="s">
        <v>294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</row>
    <row r="30" spans="2:21" ht="72">
      <c r="B30" s="80">
        <v>8.1999999999999993</v>
      </c>
      <c r="C30" s="81" t="s">
        <v>295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</row>
    <row r="31" spans="2:21" ht="72">
      <c r="B31" s="80">
        <v>8.3000000000000007</v>
      </c>
      <c r="C31" s="81" t="s">
        <v>296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</row>
    <row r="32" spans="2:21" ht="28.8">
      <c r="B32" s="55">
        <v>9</v>
      </c>
      <c r="C32" s="57" t="s">
        <v>297</v>
      </c>
      <c r="D32" s="58">
        <v>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2:21" ht="14.4">
      <c r="B33" s="55">
        <v>10</v>
      </c>
      <c r="C33" s="57" t="s">
        <v>298</v>
      </c>
      <c r="D33" s="58">
        <f>SUM(D27+D28-D32)</f>
        <v>550094.18532074429</v>
      </c>
      <c r="E33" s="58"/>
      <c r="F33" s="58"/>
      <c r="G33" s="58">
        <f>SUM(G27+G28-G32)</f>
        <v>168595.79530053015</v>
      </c>
      <c r="H33" s="58">
        <f t="shared" ref="H33:R33" si="32">SUM(H27+H28-H32)</f>
        <v>149928.71813867043</v>
      </c>
      <c r="I33" s="58">
        <f t="shared" si="32"/>
        <v>131249.62331281044</v>
      </c>
      <c r="J33" s="58">
        <f t="shared" si="32"/>
        <v>112558.27046967053</v>
      </c>
      <c r="K33" s="58">
        <f t="shared" si="32"/>
        <v>93854.414448905154</v>
      </c>
      <c r="L33" s="58">
        <f t="shared" si="32"/>
        <v>75137.805186961545</v>
      </c>
      <c r="M33" s="58">
        <f t="shared" si="32"/>
        <v>56408.187619016273</v>
      </c>
      <c r="N33" s="58">
        <f t="shared" si="32"/>
        <v>86777.914580756682</v>
      </c>
      <c r="O33" s="58">
        <f t="shared" si="32"/>
        <v>9191.7829032582231</v>
      </c>
      <c r="P33" s="58">
        <f t="shared" si="32"/>
        <v>-9296.6088709631003</v>
      </c>
      <c r="Q33" s="58">
        <f t="shared" si="32"/>
        <v>-27799.081253948272</v>
      </c>
      <c r="R33" s="58">
        <f t="shared" si="32"/>
        <v>-46315.915857871645</v>
      </c>
      <c r="S33" s="58">
        <f t="shared" ref="S33:U33" si="33">SUM(S27+S28-S32)</f>
        <v>-64847.399927152437</v>
      </c>
      <c r="T33" s="58">
        <f t="shared" si="33"/>
        <v>-83393.826451097906</v>
      </c>
      <c r="U33" s="58">
        <f t="shared" si="33"/>
        <v>-101955.49427880102</v>
      </c>
    </row>
    <row r="34" spans="2:21" ht="28.8">
      <c r="B34" s="55">
        <v>11</v>
      </c>
      <c r="C34" s="57" t="s">
        <v>299</v>
      </c>
      <c r="D34" s="58">
        <f>SUM(G34:U34)</f>
        <v>0</v>
      </c>
      <c r="E34" s="58"/>
      <c r="F34" s="58"/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/>
      <c r="T34" s="58"/>
      <c r="U34" s="58"/>
    </row>
    <row r="35" spans="2:21" ht="14.4">
      <c r="B35" s="55">
        <v>11.1</v>
      </c>
      <c r="C35" s="57" t="s">
        <v>298</v>
      </c>
      <c r="D35" s="58">
        <f t="shared" ref="D35:D45" si="34">SUM(G35:U35)</f>
        <v>550094.18532074511</v>
      </c>
      <c r="E35" s="58"/>
      <c r="F35" s="58"/>
      <c r="G35" s="58">
        <f t="shared" ref="G35:R35" si="35">SUM(G33-G34)</f>
        <v>168595.79530053015</v>
      </c>
      <c r="H35" s="58">
        <f t="shared" si="35"/>
        <v>149928.71813867043</v>
      </c>
      <c r="I35" s="58">
        <f t="shared" si="35"/>
        <v>131249.62331281044</v>
      </c>
      <c r="J35" s="58">
        <f t="shared" si="35"/>
        <v>112558.27046967053</v>
      </c>
      <c r="K35" s="58">
        <f t="shared" si="35"/>
        <v>93854.414448905154</v>
      </c>
      <c r="L35" s="58">
        <f t="shared" si="35"/>
        <v>75137.805186961545</v>
      </c>
      <c r="M35" s="58">
        <f t="shared" si="35"/>
        <v>56408.187619016273</v>
      </c>
      <c r="N35" s="58">
        <f t="shared" si="35"/>
        <v>86777.914580756682</v>
      </c>
      <c r="O35" s="58">
        <f t="shared" si="35"/>
        <v>9191.7829032582231</v>
      </c>
      <c r="P35" s="58">
        <f t="shared" si="35"/>
        <v>-9296.6088709631003</v>
      </c>
      <c r="Q35" s="58">
        <f t="shared" si="35"/>
        <v>-27799.081253948272</v>
      </c>
      <c r="R35" s="58">
        <f t="shared" si="35"/>
        <v>-46315.915857871645</v>
      </c>
      <c r="S35" s="58">
        <f t="shared" ref="S35:U35" si="36">SUM(S33-S34)</f>
        <v>-64847.399927152437</v>
      </c>
      <c r="T35" s="58">
        <f t="shared" si="36"/>
        <v>-83393.826451097906</v>
      </c>
      <c r="U35" s="58">
        <f t="shared" si="36"/>
        <v>-101955.49427880102</v>
      </c>
    </row>
    <row r="36" spans="2:21" ht="28.8">
      <c r="B36" s="55" t="s">
        <v>300</v>
      </c>
      <c r="C36" s="57" t="s">
        <v>301</v>
      </c>
      <c r="D36" s="58">
        <f t="shared" si="34"/>
        <v>0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</row>
    <row r="37" spans="2:21" ht="28.8">
      <c r="B37" s="55" t="s">
        <v>302</v>
      </c>
      <c r="C37" s="57" t="s">
        <v>303</v>
      </c>
      <c r="D37" s="58">
        <f t="shared" si="34"/>
        <v>0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</row>
    <row r="38" spans="2:21" ht="28.8">
      <c r="B38" s="55" t="s">
        <v>304</v>
      </c>
      <c r="C38" s="57" t="s">
        <v>305</v>
      </c>
      <c r="D38" s="58">
        <f t="shared" si="34"/>
        <v>0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 spans="2:21" ht="28.8">
      <c r="B39" s="55" t="s">
        <v>306</v>
      </c>
      <c r="C39" s="57" t="s">
        <v>307</v>
      </c>
      <c r="D39" s="58">
        <f t="shared" si="34"/>
        <v>0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spans="2:21" ht="28.8">
      <c r="B40" s="55" t="s">
        <v>308</v>
      </c>
      <c r="C40" s="57" t="s">
        <v>309</v>
      </c>
      <c r="D40" s="58">
        <f t="shared" si="34"/>
        <v>0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</row>
    <row r="41" spans="2:21" ht="43.2">
      <c r="B41" s="55" t="s">
        <v>310</v>
      </c>
      <c r="C41" s="57" t="s">
        <v>311</v>
      </c>
      <c r="D41" s="58">
        <f t="shared" si="34"/>
        <v>0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</row>
    <row r="42" spans="2:21" ht="43.2">
      <c r="B42" s="55" t="s">
        <v>312</v>
      </c>
      <c r="C42" s="57" t="s">
        <v>313</v>
      </c>
      <c r="D42" s="58">
        <f t="shared" si="34"/>
        <v>0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 spans="2:21" ht="43.2">
      <c r="B43" s="55" t="s">
        <v>314</v>
      </c>
      <c r="C43" s="57" t="s">
        <v>315</v>
      </c>
      <c r="D43" s="58">
        <f t="shared" si="34"/>
        <v>0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 spans="2:21" ht="43.2">
      <c r="B44" s="55" t="s">
        <v>316</v>
      </c>
      <c r="C44" s="57" t="s">
        <v>317</v>
      </c>
      <c r="D44" s="58">
        <f t="shared" si="34"/>
        <v>0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</row>
    <row r="45" spans="2:21" ht="43.2">
      <c r="B45" s="55" t="s">
        <v>318</v>
      </c>
      <c r="C45" s="57" t="s">
        <v>319</v>
      </c>
      <c r="D45" s="58">
        <f t="shared" si="34"/>
        <v>0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</row>
    <row r="46" spans="2:21" ht="28.8">
      <c r="B46" s="55">
        <v>12</v>
      </c>
      <c r="C46" s="57" t="s">
        <v>320</v>
      </c>
      <c r="D46" s="58">
        <f t="shared" ref="D46" si="37">SUM(G46:R46)</f>
        <v>52435.381043254194</v>
      </c>
      <c r="E46" s="58"/>
      <c r="F46" s="58"/>
      <c r="G46" s="58">
        <f>SUM(G35*0.25*0)</f>
        <v>0</v>
      </c>
      <c r="H46" s="58">
        <f>SUM(H35*0.25*0)</f>
        <v>0</v>
      </c>
      <c r="I46" s="58">
        <f>SUM(I35*0.25*0)</f>
        <v>0</v>
      </c>
      <c r="J46" s="58">
        <f>SUM(J35*0.25/2)</f>
        <v>14069.783808708817</v>
      </c>
      <c r="K46" s="58">
        <f>SUM(K35*0.25/2)</f>
        <v>11731.801806113144</v>
      </c>
      <c r="L46" s="58">
        <f>SUM(L35*0.25/2)</f>
        <v>9392.2256483701931</v>
      </c>
      <c r="M46" s="58">
        <f t="shared" ref="M46:R46" si="38">SUM(M35*0.25)</f>
        <v>14102.046904754068</v>
      </c>
      <c r="N46" s="58">
        <f t="shared" si="38"/>
        <v>21694.47864518917</v>
      </c>
      <c r="O46" s="58">
        <f t="shared" si="38"/>
        <v>2297.9457258145558</v>
      </c>
      <c r="P46" s="58">
        <f t="shared" si="38"/>
        <v>-2324.1522177407751</v>
      </c>
      <c r="Q46" s="58">
        <f t="shared" si="38"/>
        <v>-6949.7703134870681</v>
      </c>
      <c r="R46" s="58">
        <f t="shared" si="38"/>
        <v>-11578.978964467911</v>
      </c>
      <c r="S46" s="58">
        <f t="shared" ref="S46:U46" si="39">SUM(S35*0.25)</f>
        <v>-16211.849981788109</v>
      </c>
      <c r="T46" s="58">
        <f t="shared" si="39"/>
        <v>-20848.456612774477</v>
      </c>
      <c r="U46" s="58">
        <f t="shared" si="39"/>
        <v>-25488.873569700256</v>
      </c>
    </row>
    <row r="47" spans="2:21" ht="28.8">
      <c r="B47" s="55">
        <v>12.1</v>
      </c>
      <c r="C47" s="57" t="s">
        <v>321</v>
      </c>
      <c r="D47" s="58">
        <f>SUM(G47:U47)</f>
        <v>550094.18532074511</v>
      </c>
      <c r="E47" s="58">
        <f>SUM(E33)</f>
        <v>0</v>
      </c>
      <c r="F47" s="58">
        <f>SUM(F33)</f>
        <v>0</v>
      </c>
      <c r="G47" s="58">
        <f>SUM(G35)</f>
        <v>168595.79530053015</v>
      </c>
      <c r="H47" s="58">
        <f t="shared" ref="H47:L47" si="40">SUM(H35)</f>
        <v>149928.71813867043</v>
      </c>
      <c r="I47" s="58">
        <f t="shared" si="40"/>
        <v>131249.62331281044</v>
      </c>
      <c r="J47" s="58">
        <f t="shared" si="40"/>
        <v>112558.27046967053</v>
      </c>
      <c r="K47" s="58">
        <f t="shared" si="40"/>
        <v>93854.414448905154</v>
      </c>
      <c r="L47" s="58">
        <f t="shared" si="40"/>
        <v>75137.805186961545</v>
      </c>
      <c r="M47" s="58">
        <f t="shared" ref="M47:R47" si="41">SUM(M35)</f>
        <v>56408.187619016273</v>
      </c>
      <c r="N47" s="58">
        <f t="shared" si="41"/>
        <v>86777.914580756682</v>
      </c>
      <c r="O47" s="58">
        <f t="shared" si="41"/>
        <v>9191.7829032582231</v>
      </c>
      <c r="P47" s="58">
        <f t="shared" si="41"/>
        <v>-9296.6088709631003</v>
      </c>
      <c r="Q47" s="58">
        <f t="shared" si="41"/>
        <v>-27799.081253948272</v>
      </c>
      <c r="R47" s="58">
        <f t="shared" si="41"/>
        <v>-46315.915857871645</v>
      </c>
      <c r="S47" s="58">
        <f t="shared" ref="S47:U47" si="42">SUM(S35)</f>
        <v>-64847.399927152437</v>
      </c>
      <c r="T47" s="58">
        <f t="shared" si="42"/>
        <v>-83393.826451097906</v>
      </c>
      <c r="U47" s="58">
        <f t="shared" si="42"/>
        <v>-101955.49427880102</v>
      </c>
    </row>
    <row r="48" spans="2:21" ht="28.8">
      <c r="B48" s="55">
        <v>12.2</v>
      </c>
      <c r="C48" s="57" t="s">
        <v>322</v>
      </c>
      <c r="D48" s="58">
        <f t="shared" ref="D48:D49" si="43">SUM(G48:U48)</f>
        <v>-10113.799121008647</v>
      </c>
      <c r="E48" s="58"/>
      <c r="F48" s="58"/>
      <c r="G48" s="58">
        <f>SUM(G47*0.25*0)</f>
        <v>0</v>
      </c>
      <c r="H48" s="58">
        <f>SUM(H47*0.25*0)</f>
        <v>0</v>
      </c>
      <c r="I48" s="58">
        <f>SUM(I47*0.25*0)</f>
        <v>0</v>
      </c>
      <c r="J48" s="58">
        <f>SUM(J47*0.25/2)</f>
        <v>14069.783808708817</v>
      </c>
      <c r="K48" s="58">
        <f>SUM(K47*0.25/2)</f>
        <v>11731.801806113144</v>
      </c>
      <c r="L48" s="58">
        <f>SUM(L47*0.25/2)</f>
        <v>9392.2256483701931</v>
      </c>
      <c r="M48" s="58">
        <f t="shared" ref="M48:R48" si="44">SUM(M47*0.25)</f>
        <v>14102.046904754068</v>
      </c>
      <c r="N48" s="58">
        <f t="shared" si="44"/>
        <v>21694.47864518917</v>
      </c>
      <c r="O48" s="58">
        <f t="shared" si="44"/>
        <v>2297.9457258145558</v>
      </c>
      <c r="P48" s="58">
        <f t="shared" si="44"/>
        <v>-2324.1522177407751</v>
      </c>
      <c r="Q48" s="58">
        <f t="shared" si="44"/>
        <v>-6949.7703134870681</v>
      </c>
      <c r="R48" s="58">
        <f t="shared" si="44"/>
        <v>-11578.978964467911</v>
      </c>
      <c r="S48" s="58">
        <f t="shared" ref="S48:U48" si="45">SUM(S47*0.25)</f>
        <v>-16211.849981788109</v>
      </c>
      <c r="T48" s="58">
        <f t="shared" si="45"/>
        <v>-20848.456612774477</v>
      </c>
      <c r="U48" s="58">
        <f t="shared" si="45"/>
        <v>-25488.873569700256</v>
      </c>
    </row>
    <row r="49" spans="2:21" ht="28.8">
      <c r="B49" s="55">
        <v>12.3</v>
      </c>
      <c r="C49" s="57" t="s">
        <v>323</v>
      </c>
      <c r="D49" s="58">
        <f t="shared" si="43"/>
        <v>0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</row>
    <row r="50" spans="2:21" ht="18.75" customHeight="1">
      <c r="B50" s="55">
        <v>13</v>
      </c>
      <c r="C50" s="57" t="s">
        <v>324</v>
      </c>
      <c r="D50" s="58">
        <f>SUM(D35-D48)</f>
        <v>560207.98444175371</v>
      </c>
      <c r="E50" s="58">
        <f t="shared" ref="E50:R50" si="46">SUM(E35-E48)</f>
        <v>0</v>
      </c>
      <c r="F50" s="58">
        <f t="shared" si="46"/>
        <v>0</v>
      </c>
      <c r="G50" s="58">
        <f t="shared" si="46"/>
        <v>168595.79530053015</v>
      </c>
      <c r="H50" s="58">
        <f t="shared" si="46"/>
        <v>149928.71813867043</v>
      </c>
      <c r="I50" s="58">
        <f t="shared" si="46"/>
        <v>131249.62331281044</v>
      </c>
      <c r="J50" s="58">
        <f t="shared" si="46"/>
        <v>98488.486660961717</v>
      </c>
      <c r="K50" s="58">
        <f t="shared" si="46"/>
        <v>82122.61264279201</v>
      </c>
      <c r="L50" s="58">
        <f t="shared" si="46"/>
        <v>65745.579538591352</v>
      </c>
      <c r="M50" s="58">
        <f t="shared" si="46"/>
        <v>42306.140714262205</v>
      </c>
      <c r="N50" s="58">
        <f t="shared" si="46"/>
        <v>65083.435935567511</v>
      </c>
      <c r="O50" s="58">
        <f t="shared" si="46"/>
        <v>6893.8371774436673</v>
      </c>
      <c r="P50" s="58">
        <f t="shared" si="46"/>
        <v>-6972.4566532223253</v>
      </c>
      <c r="Q50" s="58">
        <f t="shared" si="46"/>
        <v>-20849.310940461204</v>
      </c>
      <c r="R50" s="58">
        <f t="shared" si="46"/>
        <v>-34736.936893403734</v>
      </c>
      <c r="S50" s="58">
        <f t="shared" ref="S50:U50" si="47">SUM(S35-S48)</f>
        <v>-48635.549945364328</v>
      </c>
      <c r="T50" s="58">
        <f t="shared" si="47"/>
        <v>-62545.36983832343</v>
      </c>
      <c r="U50" s="58">
        <f t="shared" si="47"/>
        <v>-76466.620709100767</v>
      </c>
    </row>
    <row r="51" spans="2:21" ht="43.2">
      <c r="B51" s="55">
        <v>14</v>
      </c>
      <c r="C51" s="57" t="s">
        <v>325</v>
      </c>
      <c r="D51" s="58">
        <f>SUM(D50*0.1)</f>
        <v>56020.798444175372</v>
      </c>
      <c r="E51" s="58">
        <f t="shared" ref="E51:L51" si="48">SUM(E50*0.1)</f>
        <v>0</v>
      </c>
      <c r="F51" s="58">
        <f t="shared" si="48"/>
        <v>0</v>
      </c>
      <c r="G51" s="58">
        <f t="shared" si="48"/>
        <v>16859.579530053015</v>
      </c>
      <c r="H51" s="58">
        <f t="shared" si="48"/>
        <v>14992.871813867045</v>
      </c>
      <c r="I51" s="58">
        <f t="shared" si="48"/>
        <v>13124.962331281044</v>
      </c>
      <c r="J51" s="58">
        <f t="shared" si="48"/>
        <v>9848.8486660961717</v>
      </c>
      <c r="K51" s="58">
        <f t="shared" si="48"/>
        <v>8212.261264279201</v>
      </c>
      <c r="L51" s="58">
        <f t="shared" si="48"/>
        <v>6574.5579538591355</v>
      </c>
      <c r="M51" s="58">
        <f t="shared" ref="M51:R51" si="49">SUM(M50*0.1)</f>
        <v>4230.614071426221</v>
      </c>
      <c r="N51" s="58">
        <f t="shared" si="49"/>
        <v>6508.3435935567513</v>
      </c>
      <c r="O51" s="58">
        <f t="shared" si="49"/>
        <v>689.38371774436678</v>
      </c>
      <c r="P51" s="58">
        <f t="shared" si="49"/>
        <v>-697.24566532223253</v>
      </c>
      <c r="Q51" s="58">
        <f t="shared" si="49"/>
        <v>-2084.9310940461205</v>
      </c>
      <c r="R51" s="58">
        <f t="shared" si="49"/>
        <v>-3473.6936893403736</v>
      </c>
      <c r="S51" s="58">
        <f t="shared" ref="S51:U51" si="50">SUM(S50*0.1)</f>
        <v>-4863.5549945364328</v>
      </c>
      <c r="T51" s="58">
        <f t="shared" si="50"/>
        <v>-6254.5369838323431</v>
      </c>
      <c r="U51" s="58">
        <f t="shared" si="50"/>
        <v>-7646.6620709100771</v>
      </c>
    </row>
    <row r="52" spans="2:21" ht="43.2">
      <c r="B52" s="55">
        <v>15</v>
      </c>
      <c r="C52" s="57" t="s">
        <v>326</v>
      </c>
      <c r="D52" s="58">
        <f>SUM(D50-D51)</f>
        <v>504187.18599757832</v>
      </c>
      <c r="E52" s="58">
        <f t="shared" ref="E52:L52" si="51">SUM(E50-E51)</f>
        <v>0</v>
      </c>
      <c r="F52" s="58">
        <f t="shared" si="51"/>
        <v>0</v>
      </c>
      <c r="G52" s="58">
        <f t="shared" si="51"/>
        <v>151736.21577047714</v>
      </c>
      <c r="H52" s="58">
        <f t="shared" si="51"/>
        <v>134935.84632480339</v>
      </c>
      <c r="I52" s="58">
        <f t="shared" si="51"/>
        <v>118124.66098152939</v>
      </c>
      <c r="J52" s="58">
        <f t="shared" si="51"/>
        <v>88639.637994865538</v>
      </c>
      <c r="K52" s="58">
        <f t="shared" si="51"/>
        <v>73910.351378512802</v>
      </c>
      <c r="L52" s="58">
        <f t="shared" si="51"/>
        <v>59171.021584732218</v>
      </c>
      <c r="M52" s="58">
        <f t="shared" ref="M52:R52" si="52">SUM(M50-M51)</f>
        <v>38075.526642835983</v>
      </c>
      <c r="N52" s="58">
        <f t="shared" si="52"/>
        <v>58575.092342010757</v>
      </c>
      <c r="O52" s="58">
        <f t="shared" si="52"/>
        <v>6204.4534596993008</v>
      </c>
      <c r="P52" s="58">
        <f t="shared" si="52"/>
        <v>-6275.2109879000927</v>
      </c>
      <c r="Q52" s="58">
        <f t="shared" si="52"/>
        <v>-18764.379846415082</v>
      </c>
      <c r="R52" s="58">
        <f t="shared" si="52"/>
        <v>-31263.243204063361</v>
      </c>
      <c r="S52" s="58">
        <f t="shared" ref="S52:U52" si="53">SUM(S50-S51)</f>
        <v>-43771.994950827895</v>
      </c>
      <c r="T52" s="58">
        <f t="shared" si="53"/>
        <v>-56290.832854491084</v>
      </c>
      <c r="U52" s="58">
        <f t="shared" si="53"/>
        <v>-68819.958638190685</v>
      </c>
    </row>
    <row r="53" spans="2:21" ht="14.4">
      <c r="B53" s="55">
        <v>16</v>
      </c>
      <c r="C53" s="57" t="s">
        <v>327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2:21" ht="28.8">
      <c r="B54" s="55">
        <v>17</v>
      </c>
      <c r="C54" s="57" t="s">
        <v>328</v>
      </c>
      <c r="D54" s="58">
        <f>SUM(D52)</f>
        <v>504187.18599757832</v>
      </c>
      <c r="E54" s="58">
        <f t="shared" ref="E54:L54" si="54">SUM(E52)</f>
        <v>0</v>
      </c>
      <c r="F54" s="58">
        <f t="shared" si="54"/>
        <v>0</v>
      </c>
      <c r="G54" s="58">
        <f t="shared" si="54"/>
        <v>151736.21577047714</v>
      </c>
      <c r="H54" s="58">
        <f t="shared" si="54"/>
        <v>134935.84632480339</v>
      </c>
      <c r="I54" s="58">
        <f t="shared" si="54"/>
        <v>118124.66098152939</v>
      </c>
      <c r="J54" s="58">
        <f t="shared" si="54"/>
        <v>88639.637994865538</v>
      </c>
      <c r="K54" s="58">
        <f t="shared" si="54"/>
        <v>73910.351378512802</v>
      </c>
      <c r="L54" s="58">
        <f t="shared" si="54"/>
        <v>59171.021584732218</v>
      </c>
      <c r="M54" s="58">
        <f t="shared" ref="M54:R54" si="55">SUM(M52)</f>
        <v>38075.526642835983</v>
      </c>
      <c r="N54" s="58">
        <f t="shared" si="55"/>
        <v>58575.092342010757</v>
      </c>
      <c r="O54" s="58">
        <f t="shared" si="55"/>
        <v>6204.4534596993008</v>
      </c>
      <c r="P54" s="58">
        <f t="shared" si="55"/>
        <v>-6275.2109879000927</v>
      </c>
      <c r="Q54" s="58">
        <f t="shared" si="55"/>
        <v>-18764.379846415082</v>
      </c>
      <c r="R54" s="58">
        <f t="shared" si="55"/>
        <v>-31263.243204063361</v>
      </c>
      <c r="S54" s="58">
        <f t="shared" ref="S54:U54" si="56">SUM(S52)</f>
        <v>-43771.994950827895</v>
      </c>
      <c r="T54" s="58">
        <f t="shared" si="56"/>
        <v>-56290.832854491084</v>
      </c>
      <c r="U54" s="58">
        <f t="shared" si="56"/>
        <v>-68819.958638190685</v>
      </c>
    </row>
    <row r="55" spans="2:21" ht="57.6">
      <c r="B55" s="55">
        <v>18</v>
      </c>
      <c r="C55" s="57" t="s">
        <v>329</v>
      </c>
      <c r="D55" s="58">
        <f>SUM(D33+D22)</f>
        <v>550094.18532074429</v>
      </c>
      <c r="E55" s="58">
        <f t="shared" ref="E55:R55" si="57">SUM(E33+E22)</f>
        <v>0</v>
      </c>
      <c r="F55" s="58">
        <f t="shared" si="57"/>
        <v>0</v>
      </c>
      <c r="G55" s="58">
        <f t="shared" si="57"/>
        <v>168595.79530053015</v>
      </c>
      <c r="H55" s="58">
        <f t="shared" si="57"/>
        <v>149928.71813867043</v>
      </c>
      <c r="I55" s="58">
        <f t="shared" si="57"/>
        <v>131249.62331281044</v>
      </c>
      <c r="J55" s="58">
        <f t="shared" si="57"/>
        <v>112558.27046967053</v>
      </c>
      <c r="K55" s="58">
        <f t="shared" si="57"/>
        <v>93854.414448905154</v>
      </c>
      <c r="L55" s="58">
        <f t="shared" si="57"/>
        <v>75137.805186961545</v>
      </c>
      <c r="M55" s="58">
        <f t="shared" si="57"/>
        <v>56408.187619016273</v>
      </c>
      <c r="N55" s="58">
        <f t="shared" si="57"/>
        <v>86777.914580756682</v>
      </c>
      <c r="O55" s="58">
        <f t="shared" si="57"/>
        <v>9191.7829032582231</v>
      </c>
      <c r="P55" s="58">
        <f t="shared" si="57"/>
        <v>-9296.6088709631003</v>
      </c>
      <c r="Q55" s="58">
        <f t="shared" si="57"/>
        <v>-27799.081253948272</v>
      </c>
      <c r="R55" s="58">
        <f t="shared" si="57"/>
        <v>-46315.915857871645</v>
      </c>
      <c r="S55" s="58">
        <f t="shared" ref="S55:U55" si="58">SUM(S33+S22)</f>
        <v>-64847.399927152437</v>
      </c>
      <c r="T55" s="58">
        <f t="shared" si="58"/>
        <v>-83393.826451097906</v>
      </c>
      <c r="U55" s="58">
        <f t="shared" si="58"/>
        <v>-101955.49427880102</v>
      </c>
    </row>
    <row r="56" spans="2:21" ht="72">
      <c r="B56" s="55">
        <v>19</v>
      </c>
      <c r="C56" s="57" t="s">
        <v>330</v>
      </c>
      <c r="D56" s="58">
        <f>SUM(D33+D18)</f>
        <v>9081802.35629352</v>
      </c>
      <c r="E56" s="58">
        <f t="shared" ref="E56:R56" si="59">SUM(E33+E18)</f>
        <v>0</v>
      </c>
      <c r="F56" s="58">
        <f t="shared" si="59"/>
        <v>0</v>
      </c>
      <c r="G56" s="58">
        <f t="shared" si="59"/>
        <v>737376.34003204864</v>
      </c>
      <c r="H56" s="58">
        <f t="shared" si="59"/>
        <v>718709.26287018892</v>
      </c>
      <c r="I56" s="58">
        <f t="shared" si="59"/>
        <v>700030.16804432892</v>
      </c>
      <c r="J56" s="58">
        <f t="shared" si="59"/>
        <v>681338.81520118902</v>
      </c>
      <c r="K56" s="58">
        <f t="shared" si="59"/>
        <v>662634.95918042364</v>
      </c>
      <c r="L56" s="58">
        <f t="shared" si="59"/>
        <v>643918.34991848003</v>
      </c>
      <c r="M56" s="58">
        <f t="shared" si="59"/>
        <v>625188.73235053476</v>
      </c>
      <c r="N56" s="58">
        <f t="shared" si="59"/>
        <v>655558.45931227517</v>
      </c>
      <c r="O56" s="58">
        <f t="shared" si="59"/>
        <v>577972.32763477671</v>
      </c>
      <c r="P56" s="58">
        <f t="shared" si="59"/>
        <v>559483.93586055539</v>
      </c>
      <c r="Q56" s="58">
        <f t="shared" si="59"/>
        <v>540981.46347757021</v>
      </c>
      <c r="R56" s="58">
        <f t="shared" si="59"/>
        <v>522464.62887364684</v>
      </c>
      <c r="S56" s="58">
        <f t="shared" ref="S56:U56" si="60">SUM(S33+S18)</f>
        <v>503933.14480436605</v>
      </c>
      <c r="T56" s="58">
        <f t="shared" si="60"/>
        <v>485386.71828042058</v>
      </c>
      <c r="U56" s="58">
        <f t="shared" si="60"/>
        <v>466825.05045271746</v>
      </c>
    </row>
    <row r="57" spans="2:21" ht="15" customHeight="1">
      <c r="B57" s="55"/>
      <c r="C57" s="83" t="s">
        <v>331</v>
      </c>
      <c r="D57" s="83"/>
      <c r="E57" s="83"/>
      <c r="F57" s="83"/>
      <c r="G57" s="83">
        <f>(G4-G5-G18)/G4</f>
        <v>0.25884108554858082</v>
      </c>
      <c r="H57" s="83">
        <f t="shared" ref="H57:R57" si="61">(H4-H5-H18)/H4</f>
        <v>0.24097247440352576</v>
      </c>
      <c r="I57" s="83">
        <f t="shared" si="61"/>
        <v>0.22222098880876859</v>
      </c>
      <c r="J57" s="83">
        <f t="shared" si="61"/>
        <v>0.20251953808476161</v>
      </c>
      <c r="K57" s="83">
        <f t="shared" si="61"/>
        <v>0.18179405715363123</v>
      </c>
      <c r="L57" s="83">
        <f t="shared" si="61"/>
        <v>0.15996257608000422</v>
      </c>
      <c r="M57" s="83">
        <f t="shared" si="61"/>
        <v>0.1369341365684906</v>
      </c>
      <c r="N57" s="83">
        <f t="shared" si="61"/>
        <v>0.11260752522176912</v>
      </c>
      <c r="O57" s="83">
        <f t="shared" si="61"/>
        <v>8.6869786356826711E-2</v>
      </c>
      <c r="P57" s="83">
        <f t="shared" si="61"/>
        <v>5.9594468286965858E-2</v>
      </c>
      <c r="Q57" s="83">
        <f t="shared" si="61"/>
        <v>3.0639545623779855E-2</v>
      </c>
      <c r="R57" s="83">
        <f t="shared" si="61"/>
        <v>-1.5505444618296352E-4</v>
      </c>
      <c r="S57" s="83">
        <f t="shared" ref="S57:U57" si="62">(S4-S5-S18)/S4</f>
        <v>-3.2970412865957678E-2</v>
      </c>
      <c r="T57" s="83">
        <f t="shared" si="62"/>
        <v>-6.8012182033977145E-2</v>
      </c>
      <c r="U57" s="83">
        <f t="shared" si="62"/>
        <v>-0.1055148998763914</v>
      </c>
    </row>
  </sheetData>
  <mergeCells count="3">
    <mergeCell ref="A1:A2"/>
    <mergeCell ref="B1:B2"/>
    <mergeCell ref="D1:D2"/>
  </mergeCells>
  <phoneticPr fontId="42" type="noConversion"/>
  <pageMargins left="0.25" right="0.25" top="0.75" bottom="0.75" header="0.3" footer="0.3"/>
  <pageSetup paperSize="8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S23"/>
  <sheetViews>
    <sheetView workbookViewId="0">
      <pane xSplit="6" ySplit="13" topLeftCell="G14" activePane="bottomRight" state="frozen"/>
      <selection pane="topRight"/>
      <selection pane="bottomLeft"/>
      <selection pane="bottomRight" activeCell="K7" sqref="K7"/>
    </sheetView>
  </sheetViews>
  <sheetFormatPr defaultColWidth="9" defaultRowHeight="15"/>
  <cols>
    <col min="1" max="1" width="4.44140625" customWidth="1"/>
    <col min="2" max="2" width="24.109375" customWidth="1"/>
    <col min="3" max="14" width="13.109375" style="26" customWidth="1"/>
    <col min="15" max="16" width="11.88671875" style="26" customWidth="1"/>
    <col min="17" max="18" width="10.21875" customWidth="1"/>
    <col min="19" max="19" width="12.109375" customWidth="1"/>
  </cols>
  <sheetData>
    <row r="1" spans="1:19" ht="15.6">
      <c r="A1" s="4"/>
      <c r="B1" s="4"/>
      <c r="C1" s="27" t="s">
        <v>208</v>
      </c>
      <c r="D1" s="28" t="s">
        <v>209</v>
      </c>
      <c r="E1" s="2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9" ht="15.6">
      <c r="A2" s="4"/>
      <c r="B2" s="4"/>
      <c r="C2" s="27">
        <v>1</v>
      </c>
      <c r="D2" s="27">
        <v>0</v>
      </c>
      <c r="E2" s="27">
        <v>1</v>
      </c>
      <c r="F2" s="27">
        <v>2</v>
      </c>
      <c r="G2" s="27">
        <v>3</v>
      </c>
      <c r="H2" s="27">
        <v>4</v>
      </c>
      <c r="I2" s="27">
        <v>5</v>
      </c>
      <c r="J2" s="27">
        <v>6</v>
      </c>
      <c r="K2" s="27">
        <v>7</v>
      </c>
      <c r="L2" s="27">
        <v>8</v>
      </c>
      <c r="M2" s="27">
        <v>9</v>
      </c>
      <c r="N2" s="27">
        <v>10</v>
      </c>
      <c r="O2" s="27">
        <v>11</v>
      </c>
      <c r="P2" s="27">
        <v>12</v>
      </c>
      <c r="Q2" s="27">
        <v>13</v>
      </c>
      <c r="R2" s="27">
        <v>14</v>
      </c>
      <c r="S2" s="27">
        <v>15</v>
      </c>
    </row>
    <row r="3" spans="1:19" ht="15.6">
      <c r="A3" s="30">
        <v>1</v>
      </c>
      <c r="B3" s="31" t="s">
        <v>332</v>
      </c>
      <c r="C3" s="32"/>
      <c r="D3" s="32"/>
      <c r="E3" s="32">
        <f t="shared" ref="E3:P3" si="0">D13</f>
        <v>0</v>
      </c>
      <c r="F3" s="32">
        <f t="shared" si="0"/>
        <v>837141.00503621495</v>
      </c>
      <c r="G3" s="32">
        <f t="shared" si="0"/>
        <v>1653266.3276955285</v>
      </c>
      <c r="H3" s="32">
        <f t="shared" si="0"/>
        <v>2448363.9503139402</v>
      </c>
      <c r="I3" s="32">
        <f t="shared" si="0"/>
        <v>3208351.8310654615</v>
      </c>
      <c r="J3" s="32">
        <f t="shared" si="0"/>
        <v>3949625.2325837715</v>
      </c>
      <c r="K3" s="32">
        <f t="shared" si="0"/>
        <v>4672172.9957828391</v>
      </c>
      <c r="L3" s="32">
        <f t="shared" si="0"/>
        <v>5368932.7149425354</v>
      </c>
      <c r="M3" s="32">
        <f t="shared" si="0"/>
        <v>6495392.8991235578</v>
      </c>
      <c r="N3" s="32">
        <f t="shared" si="0"/>
        <v>7071067.2810325203</v>
      </c>
      <c r="O3" s="32">
        <f t="shared" si="0"/>
        <v>7632875.3691108162</v>
      </c>
      <c r="P3" s="32">
        <f t="shared" si="0"/>
        <v>8180806.6029018732</v>
      </c>
      <c r="Q3" s="32">
        <f t="shared" ref="Q3" si="1">P13</f>
        <v>8714850.2107399888</v>
      </c>
      <c r="R3" s="32">
        <f t="shared" ref="R3" si="2">Q13</f>
        <v>9234995.2055261433</v>
      </c>
      <c r="S3" s="32">
        <f t="shared" ref="S3" si="3">R13</f>
        <v>9741230.3804193381</v>
      </c>
    </row>
    <row r="4" spans="1:19" ht="15.6">
      <c r="A4" s="30">
        <v>2</v>
      </c>
      <c r="B4" s="31" t="s">
        <v>333</v>
      </c>
      <c r="C4" s="32">
        <f>-投资估算!C32</f>
        <v>-9673336.3200000003</v>
      </c>
      <c r="D4" s="32">
        <f>-投资估算!C42</f>
        <v>-9673336.3200000003</v>
      </c>
      <c r="E4" s="32">
        <f>SUM(E5:E11)</f>
        <v>837141.00503621495</v>
      </c>
      <c r="F4" s="32">
        <f t="shared" ref="F4:P4" si="4">SUM(F5:F11)</f>
        <v>816125.32265931345</v>
      </c>
      <c r="G4" s="32">
        <f t="shared" si="4"/>
        <v>795097.62261841167</v>
      </c>
      <c r="H4" s="32">
        <f t="shared" si="4"/>
        <v>759987.88075152121</v>
      </c>
      <c r="I4" s="32">
        <f t="shared" si="4"/>
        <v>741273.40151830972</v>
      </c>
      <c r="J4" s="32">
        <f t="shared" si="4"/>
        <v>722547.76319906721</v>
      </c>
      <c r="K4" s="32">
        <f t="shared" si="4"/>
        <v>696759.71915969625</v>
      </c>
      <c r="L4" s="32">
        <f t="shared" si="4"/>
        <v>1126460.1841810222</v>
      </c>
      <c r="M4" s="32">
        <f t="shared" si="4"/>
        <v>575674.38190896215</v>
      </c>
      <c r="N4" s="32">
        <f t="shared" si="4"/>
        <v>561808.08807829616</v>
      </c>
      <c r="O4" s="32">
        <f t="shared" si="4"/>
        <v>547931.23379105725</v>
      </c>
      <c r="P4" s="32">
        <f t="shared" si="4"/>
        <v>534043.60783811472</v>
      </c>
      <c r="Q4" s="32">
        <f t="shared" ref="Q4:S4" si="5">SUM(Q5:Q11)</f>
        <v>520144.99478615413</v>
      </c>
      <c r="R4" s="32">
        <f t="shared" si="5"/>
        <v>506235.17489319504</v>
      </c>
      <c r="S4" s="32">
        <f t="shared" si="5"/>
        <v>492313.92402241775</v>
      </c>
    </row>
    <row r="5" spans="1:19">
      <c r="A5" s="33">
        <v>2.1</v>
      </c>
      <c r="B5" s="34" t="s">
        <v>324</v>
      </c>
      <c r="C5" s="35"/>
      <c r="D5" s="35"/>
      <c r="E5" s="35">
        <f>SUM(利润及利润分配表!G50)</f>
        <v>168595.79530053015</v>
      </c>
      <c r="F5" s="35">
        <f>SUM(利润及利润分配表!H50)</f>
        <v>149928.71813867043</v>
      </c>
      <c r="G5" s="35">
        <f>SUM(利润及利润分配表!I50)</f>
        <v>131249.62331281044</v>
      </c>
      <c r="H5" s="35">
        <f>SUM(利润及利润分配表!J50)</f>
        <v>98488.486660961717</v>
      </c>
      <c r="I5" s="35">
        <f>SUM(利润及利润分配表!K50)</f>
        <v>82122.61264279201</v>
      </c>
      <c r="J5" s="35">
        <f>SUM(利润及利润分配表!L50)</f>
        <v>65745.579538591352</v>
      </c>
      <c r="K5" s="35">
        <f>SUM(利润及利润分配表!M50)</f>
        <v>42306.140714262205</v>
      </c>
      <c r="L5" s="35">
        <f>SUM(利润及利润分配表!N50)</f>
        <v>65083.435935567511</v>
      </c>
      <c r="M5" s="35">
        <f>SUM(利润及利润分配表!O50)</f>
        <v>6893.8371774436673</v>
      </c>
      <c r="N5" s="35">
        <f>SUM(利润及利润分配表!P50)</f>
        <v>-6972.4566532223253</v>
      </c>
      <c r="O5" s="35">
        <f>SUM(利润及利润分配表!Q50)</f>
        <v>-20849.310940461204</v>
      </c>
      <c r="P5" s="35">
        <f>SUM(利润及利润分配表!R50)</f>
        <v>-34736.936893403734</v>
      </c>
      <c r="Q5" s="35">
        <f>SUM(利润及利润分配表!S50)</f>
        <v>-48635.549945364328</v>
      </c>
      <c r="R5" s="35">
        <f>SUM(利润及利润分配表!T50)</f>
        <v>-62545.36983832343</v>
      </c>
      <c r="S5" s="35">
        <f>SUM(利润及利润分配表!U50)</f>
        <v>-76466.620709100767</v>
      </c>
    </row>
    <row r="6" spans="1:19">
      <c r="A6" s="33">
        <v>2.2000000000000002</v>
      </c>
      <c r="B6" s="34" t="s">
        <v>334</v>
      </c>
      <c r="C6" s="35"/>
      <c r="D6" s="35"/>
      <c r="E6" s="35">
        <f>SUM(利润及利润分配表!G18)</f>
        <v>568780.54473151849</v>
      </c>
      <c r="F6" s="35">
        <f>SUM(利润及利润分配表!H18)</f>
        <v>568780.54473151849</v>
      </c>
      <c r="G6" s="35">
        <f>SUM(利润及利润分配表!I18)</f>
        <v>568780.54473151849</v>
      </c>
      <c r="H6" s="35">
        <f>SUM(利润及利润分配表!J18)</f>
        <v>568780.54473151849</v>
      </c>
      <c r="I6" s="35">
        <f>SUM(利润及利润分配表!K18)</f>
        <v>568780.54473151849</v>
      </c>
      <c r="J6" s="35">
        <f>SUM(利润及利润分配表!L18)</f>
        <v>568780.54473151849</v>
      </c>
      <c r="K6" s="35">
        <f>SUM(利润及利润分配表!M18)</f>
        <v>568780.54473151849</v>
      </c>
      <c r="L6" s="35">
        <f>SUM(利润及利润分配表!N18)</f>
        <v>568780.54473151849</v>
      </c>
      <c r="M6" s="35">
        <f>SUM(利润及利润分配表!O18)</f>
        <v>568780.54473151849</v>
      </c>
      <c r="N6" s="35">
        <f>SUM(利润及利润分配表!P18)</f>
        <v>568780.54473151849</v>
      </c>
      <c r="O6" s="35">
        <f>SUM(利润及利润分配表!Q18)</f>
        <v>568780.54473151849</v>
      </c>
      <c r="P6" s="35">
        <f>SUM(利润及利润分配表!R18)</f>
        <v>568780.54473151849</v>
      </c>
      <c r="Q6" s="35">
        <f>SUM(利润及利润分配表!S18)</f>
        <v>568780.54473151849</v>
      </c>
      <c r="R6" s="35">
        <f>SUM(利润及利润分配表!T18)</f>
        <v>568780.54473151849</v>
      </c>
      <c r="S6" s="35">
        <f>SUM(利润及利润分配表!U18)</f>
        <v>568780.54473151849</v>
      </c>
    </row>
    <row r="7" spans="1:19">
      <c r="A7" s="33">
        <v>2.2999999999999998</v>
      </c>
      <c r="B7" s="34" t="s">
        <v>335</v>
      </c>
      <c r="C7" s="35"/>
      <c r="D7" s="35"/>
      <c r="E7" s="35">
        <f>利润及利润分配表!G21</f>
        <v>0</v>
      </c>
      <c r="F7" s="35">
        <f>利润及利润分配表!H21</f>
        <v>0</v>
      </c>
      <c r="G7" s="35">
        <f>利润及利润分配表!I21</f>
        <v>0</v>
      </c>
      <c r="H7" s="35">
        <f>利润及利润分配表!J21</f>
        <v>0</v>
      </c>
      <c r="I7" s="35">
        <f>利润及利润分配表!K21</f>
        <v>0</v>
      </c>
      <c r="J7" s="35">
        <f>利润及利润分配表!L21</f>
        <v>0</v>
      </c>
      <c r="K7" s="35">
        <f>利润及利润分配表!M21</f>
        <v>0</v>
      </c>
      <c r="L7" s="35">
        <f>利润及利润分配表!N21</f>
        <v>0</v>
      </c>
      <c r="M7" s="35">
        <f>利润及利润分配表!O21</f>
        <v>0</v>
      </c>
      <c r="N7" s="35">
        <f>利润及利润分配表!P21</f>
        <v>0</v>
      </c>
      <c r="O7" s="35">
        <f>利润及利润分配表!Q21</f>
        <v>0</v>
      </c>
      <c r="P7" s="35">
        <f>利润及利润分配表!R21</f>
        <v>0</v>
      </c>
      <c r="Q7" s="35">
        <f>利润及利润分配表!S21</f>
        <v>0</v>
      </c>
      <c r="R7" s="35">
        <f>利润及利润分配表!T21</f>
        <v>0</v>
      </c>
      <c r="S7" s="35">
        <f>利润及利润分配表!U21</f>
        <v>0</v>
      </c>
    </row>
    <row r="8" spans="1:19">
      <c r="A8" s="33">
        <v>2.4</v>
      </c>
      <c r="B8" s="34" t="s">
        <v>336</v>
      </c>
      <c r="C8" s="35"/>
      <c r="D8" s="35"/>
      <c r="E8" s="35">
        <f>-借款!B4</f>
        <v>0</v>
      </c>
      <c r="F8" s="35">
        <f>-借款!C4</f>
        <v>0</v>
      </c>
      <c r="G8" s="35">
        <f>-借款!D4</f>
        <v>0</v>
      </c>
      <c r="H8" s="35">
        <f>-借款!E4</f>
        <v>0</v>
      </c>
      <c r="I8" s="35">
        <f>-借款!F4</f>
        <v>0</v>
      </c>
      <c r="J8" s="35">
        <f>-借款!G4</f>
        <v>0</v>
      </c>
      <c r="K8" s="35">
        <f>-借款!H4</f>
        <v>0</v>
      </c>
      <c r="L8" s="35">
        <f>-借款!I4</f>
        <v>0</v>
      </c>
      <c r="M8" s="35">
        <f>-借款!J4</f>
        <v>0</v>
      </c>
      <c r="N8" s="35">
        <f>-借款!K4</f>
        <v>0</v>
      </c>
      <c r="O8" s="35"/>
      <c r="P8" s="35"/>
      <c r="Q8" s="35"/>
      <c r="R8" s="35"/>
      <c r="S8" s="35"/>
    </row>
    <row r="9" spans="1:19">
      <c r="A9" s="33">
        <v>2.5</v>
      </c>
      <c r="B9" s="34" t="s">
        <v>337</v>
      </c>
      <c r="C9" s="35"/>
      <c r="D9" s="35"/>
      <c r="E9" s="35">
        <f>-利润及利润分配表!G11</f>
        <v>99764.665004166338</v>
      </c>
      <c r="F9" s="35">
        <f>-利润及利润分配表!H11</f>
        <v>97416.059789124556</v>
      </c>
      <c r="G9" s="35">
        <f>-利润及利润分配表!I11</f>
        <v>95067.454574082774</v>
      </c>
      <c r="H9" s="35">
        <f>-利润及利润分配表!J11</f>
        <v>92718.849359040978</v>
      </c>
      <c r="I9" s="35">
        <f>-利润及利润分配表!K11</f>
        <v>90370.244143999211</v>
      </c>
      <c r="J9" s="35">
        <f>-利润及利润分配表!L11</f>
        <v>88021.638928957414</v>
      </c>
      <c r="K9" s="35">
        <f>-利润及利润分配表!M11</f>
        <v>85673.033713915633</v>
      </c>
      <c r="L9" s="35">
        <f>-利润及利润分配表!N11</f>
        <v>492596.20351393626</v>
      </c>
      <c r="M9" s="35">
        <f>-利润及利润分配表!O11</f>
        <v>0</v>
      </c>
      <c r="N9" s="35">
        <f>-利润及利润分配表!P11</f>
        <v>0</v>
      </c>
      <c r="O9" s="35">
        <f>-利润及利润分配表!Q11</f>
        <v>0</v>
      </c>
      <c r="P9" s="35">
        <f>-利润及利润分配表!R11</f>
        <v>0</v>
      </c>
      <c r="Q9" s="35">
        <f>-利润及利润分配表!S11</f>
        <v>0</v>
      </c>
      <c r="R9" s="35">
        <f>-利润及利润分配表!T11</f>
        <v>0</v>
      </c>
      <c r="S9" s="35">
        <f>-利润及利润分配表!U11</f>
        <v>0</v>
      </c>
    </row>
    <row r="10" spans="1:19">
      <c r="A10" s="33">
        <v>2.6</v>
      </c>
      <c r="B10" s="36" t="s">
        <v>338</v>
      </c>
      <c r="C10" s="35"/>
      <c r="D10" s="35"/>
      <c r="E10" s="35" t="s">
        <v>339</v>
      </c>
      <c r="F10" s="35">
        <f>-'[2]4.1 利润及利润分配表'!G14</f>
        <v>0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>
      <c r="A11" s="33">
        <v>2.7</v>
      </c>
      <c r="B11" s="36" t="s">
        <v>340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>
      <c r="A12" s="33">
        <v>2.8</v>
      </c>
      <c r="B12" s="36" t="s">
        <v>341</v>
      </c>
      <c r="C12" s="35"/>
      <c r="D12" s="35">
        <v>0</v>
      </c>
      <c r="E12" s="35">
        <f>流动资产!D10</f>
        <v>-30044.16</v>
      </c>
      <c r="F12" s="35">
        <f>流动资产!E10</f>
        <v>-30645.0432</v>
      </c>
      <c r="G12" s="35">
        <f>流动资产!F10</f>
        <v>-31257.944063999999</v>
      </c>
      <c r="H12" s="35">
        <f>流动资产!G10</f>
        <v>-31883.102945279999</v>
      </c>
      <c r="I12" s="35">
        <f>流动资产!H10</f>
        <v>-32520.7650041856</v>
      </c>
      <c r="J12" s="35">
        <f>流动资产!I10</f>
        <v>-33171.180304269314</v>
      </c>
      <c r="K12" s="35">
        <f>流动资产!J10</f>
        <v>-33834.603910354701</v>
      </c>
      <c r="L12" s="35">
        <f>流动资产!K10</f>
        <v>-34511.295988561797</v>
      </c>
      <c r="M12" s="35">
        <f>流动资产!L10</f>
        <v>-35201.52190833303</v>
      </c>
      <c r="N12" s="35">
        <f>流动资产!M10</f>
        <v>-35905.552346499688</v>
      </c>
      <c r="O12" s="35">
        <f>流动资产!N10</f>
        <v>-36623.663393429684</v>
      </c>
      <c r="P12" s="35">
        <f>流动资产!O10</f>
        <v>-37356.136661298275</v>
      </c>
      <c r="Q12" s="35">
        <f>流动资产!P10</f>
        <v>-38103.259394524241</v>
      </c>
      <c r="R12" s="35">
        <f>流动资产!Q10</f>
        <v>-38865.324582414723</v>
      </c>
      <c r="S12" s="35">
        <f>流动资产!R10</f>
        <v>-39642.631074063014</v>
      </c>
    </row>
    <row r="13" spans="1:19" ht="15.6">
      <c r="A13" s="30">
        <v>3</v>
      </c>
      <c r="B13" s="28" t="s">
        <v>342</v>
      </c>
      <c r="C13" s="31"/>
      <c r="D13" s="37">
        <f>'[2]4.3 现金流量表'!D12</f>
        <v>0</v>
      </c>
      <c r="E13" s="32">
        <f t="shared" ref="E13:P13" si="6">SUM(E3:E4)</f>
        <v>837141.00503621495</v>
      </c>
      <c r="F13" s="32">
        <f t="shared" si="6"/>
        <v>1653266.3276955285</v>
      </c>
      <c r="G13" s="32">
        <f t="shared" si="6"/>
        <v>2448363.9503139402</v>
      </c>
      <c r="H13" s="32">
        <f t="shared" si="6"/>
        <v>3208351.8310654615</v>
      </c>
      <c r="I13" s="32">
        <f t="shared" si="6"/>
        <v>3949625.2325837715</v>
      </c>
      <c r="J13" s="32">
        <f t="shared" si="6"/>
        <v>4672172.9957828391</v>
      </c>
      <c r="K13" s="32">
        <f t="shared" si="6"/>
        <v>5368932.7149425354</v>
      </c>
      <c r="L13" s="32">
        <f t="shared" si="6"/>
        <v>6495392.8991235578</v>
      </c>
      <c r="M13" s="32">
        <f t="shared" si="6"/>
        <v>7071067.2810325203</v>
      </c>
      <c r="N13" s="32">
        <f t="shared" si="6"/>
        <v>7632875.3691108162</v>
      </c>
      <c r="O13" s="32">
        <f t="shared" si="6"/>
        <v>8180806.6029018732</v>
      </c>
      <c r="P13" s="32">
        <f t="shared" si="6"/>
        <v>8714850.2107399888</v>
      </c>
      <c r="Q13" s="32">
        <f t="shared" ref="Q13:S13" si="7">SUM(Q3:Q4)</f>
        <v>9234995.2055261433</v>
      </c>
      <c r="R13" s="32">
        <f t="shared" si="7"/>
        <v>9741230.3804193381</v>
      </c>
      <c r="S13" s="32">
        <f t="shared" si="7"/>
        <v>10233544.304441756</v>
      </c>
    </row>
    <row r="14" spans="1:19">
      <c r="A14" s="33"/>
      <c r="B14" s="34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spans="1:19" ht="15.6">
      <c r="A15" s="30" t="s">
        <v>343</v>
      </c>
      <c r="B15" s="34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1:19" ht="15.6">
      <c r="A16" s="30"/>
      <c r="B16" s="38" t="s">
        <v>344</v>
      </c>
      <c r="C16" s="39">
        <f>SUM(-投资估算!C32+流动资产!D2)</f>
        <v>-9673336.3200000003</v>
      </c>
      <c r="D16" s="39">
        <f>SUM(-投资估算!C42+流动资产!D2)</f>
        <v>-9673336.3200000003</v>
      </c>
      <c r="E16" s="39">
        <f>SUM(E4)</f>
        <v>837141.00503621495</v>
      </c>
      <c r="F16" s="39">
        <f t="shared" ref="F16:P16" si="8">SUM(F4)</f>
        <v>816125.32265931345</v>
      </c>
      <c r="G16" s="39">
        <f t="shared" si="8"/>
        <v>795097.62261841167</v>
      </c>
      <c r="H16" s="39">
        <f t="shared" si="8"/>
        <v>759987.88075152121</v>
      </c>
      <c r="I16" s="39">
        <f t="shared" si="8"/>
        <v>741273.40151830972</v>
      </c>
      <c r="J16" s="39">
        <f t="shared" si="8"/>
        <v>722547.76319906721</v>
      </c>
      <c r="K16" s="39">
        <f t="shared" si="8"/>
        <v>696759.71915969625</v>
      </c>
      <c r="L16" s="39">
        <f t="shared" si="8"/>
        <v>1126460.1841810222</v>
      </c>
      <c r="M16" s="39">
        <f t="shared" si="8"/>
        <v>575674.38190896215</v>
      </c>
      <c r="N16" s="39">
        <f t="shared" si="8"/>
        <v>561808.08807829616</v>
      </c>
      <c r="O16" s="39">
        <f t="shared" si="8"/>
        <v>547931.23379105725</v>
      </c>
      <c r="P16" s="39">
        <f t="shared" si="8"/>
        <v>534043.60783811472</v>
      </c>
      <c r="Q16" s="39">
        <f t="shared" ref="Q16:S16" si="9">SUM(Q4)</f>
        <v>520144.99478615413</v>
      </c>
      <c r="R16" s="39">
        <f t="shared" si="9"/>
        <v>506235.17489319504</v>
      </c>
      <c r="S16" s="39">
        <f t="shared" si="9"/>
        <v>492313.92402241775</v>
      </c>
    </row>
    <row r="17" spans="1:19" ht="30">
      <c r="A17" s="30"/>
      <c r="B17" s="36" t="s">
        <v>345</v>
      </c>
      <c r="C17" s="40"/>
      <c r="D17" s="40">
        <f>SUM(D$16:$E16)</f>
        <v>-8836195.3149637859</v>
      </c>
      <c r="E17" s="40">
        <f>SUM($D$16:E16)</f>
        <v>-8836195.3149637859</v>
      </c>
      <c r="F17" s="40">
        <f>SUM($D$16:F16)</f>
        <v>-8020069.9923044723</v>
      </c>
      <c r="G17" s="40">
        <f>SUM($D$16:G16)</f>
        <v>-7224972.3696860606</v>
      </c>
      <c r="H17" s="40">
        <f>SUM($D$16:H16)</f>
        <v>-6464984.4889345393</v>
      </c>
      <c r="I17" s="40">
        <f>SUM($D$16:I16)</f>
        <v>-5723711.0874162298</v>
      </c>
      <c r="J17" s="40">
        <f>SUM($D$16:J16)</f>
        <v>-5001163.324217163</v>
      </c>
      <c r="K17" s="40">
        <f>SUM($D$16:K16)</f>
        <v>-4304403.6050574668</v>
      </c>
      <c r="L17" s="40">
        <f>SUM($D$16:L16)</f>
        <v>-3177943.4208764443</v>
      </c>
      <c r="M17" s="40">
        <f>SUM($D$16:M16)</f>
        <v>-2602269.0389674823</v>
      </c>
      <c r="N17" s="40">
        <f>SUM($D$16:N16)</f>
        <v>-2040460.950889186</v>
      </c>
      <c r="O17" s="40">
        <f>SUM($D$16:O16)</f>
        <v>-1492529.7170981287</v>
      </c>
      <c r="P17" s="40">
        <f>SUM($D$16:P16)</f>
        <v>-958486.10926001403</v>
      </c>
      <c r="Q17" s="40">
        <f>SUM($D$16:Q16)</f>
        <v>-438341.1144738599</v>
      </c>
      <c r="R17" s="40">
        <f>SUM($D$16:R16)</f>
        <v>67894.060419335146</v>
      </c>
      <c r="S17" s="40">
        <f>SUM($D$16:S16)</f>
        <v>560207.98444175289</v>
      </c>
    </row>
    <row r="18" spans="1:19" ht="15.6">
      <c r="A18" s="30"/>
      <c r="B18" s="41" t="s">
        <v>346</v>
      </c>
      <c r="C18" s="29"/>
      <c r="D18" s="42">
        <f>SUM(E19:AC20)</f>
        <v>13.865884348250475</v>
      </c>
      <c r="E18" s="43" t="s">
        <v>347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t="15.6">
      <c r="A19" s="30"/>
      <c r="B19" s="44"/>
      <c r="C19" s="29"/>
      <c r="D19" s="45"/>
      <c r="E19" s="46">
        <f t="shared" ref="E19:P19" si="10">IF(E17&gt;0,0,1)</f>
        <v>1</v>
      </c>
      <c r="F19" s="46">
        <f t="shared" si="10"/>
        <v>1</v>
      </c>
      <c r="G19" s="46">
        <f t="shared" si="10"/>
        <v>1</v>
      </c>
      <c r="H19" s="46">
        <f t="shared" si="10"/>
        <v>1</v>
      </c>
      <c r="I19" s="46">
        <f t="shared" si="10"/>
        <v>1</v>
      </c>
      <c r="J19" s="46">
        <f t="shared" si="10"/>
        <v>1</v>
      </c>
      <c r="K19" s="46">
        <f t="shared" si="10"/>
        <v>1</v>
      </c>
      <c r="L19" s="46">
        <f t="shared" si="10"/>
        <v>1</v>
      </c>
      <c r="M19" s="46">
        <f t="shared" si="10"/>
        <v>1</v>
      </c>
      <c r="N19" s="46">
        <f t="shared" si="10"/>
        <v>1</v>
      </c>
      <c r="O19" s="46">
        <f t="shared" si="10"/>
        <v>1</v>
      </c>
      <c r="P19" s="46">
        <f t="shared" si="10"/>
        <v>1</v>
      </c>
      <c r="Q19" s="46">
        <f t="shared" ref="Q19:S19" si="11">IF(Q17&gt;0,0,1)</f>
        <v>1</v>
      </c>
      <c r="R19" s="46">
        <f t="shared" si="11"/>
        <v>0</v>
      </c>
      <c r="S19" s="46">
        <f t="shared" si="11"/>
        <v>0</v>
      </c>
    </row>
    <row r="20" spans="1:19" ht="15.6">
      <c r="A20" s="30"/>
      <c r="B20" s="44"/>
      <c r="C20" s="29"/>
      <c r="D20" s="45"/>
      <c r="E20" s="46">
        <f t="shared" ref="E20:P20" si="12">IF(AND(D19&gt;0,E19=0),1-E17/E16,0)</f>
        <v>0</v>
      </c>
      <c r="F20" s="46">
        <f t="shared" si="12"/>
        <v>0</v>
      </c>
      <c r="G20" s="46">
        <f t="shared" si="12"/>
        <v>0</v>
      </c>
      <c r="H20" s="46">
        <f t="shared" si="12"/>
        <v>0</v>
      </c>
      <c r="I20" s="46">
        <f t="shared" si="12"/>
        <v>0</v>
      </c>
      <c r="J20" s="46">
        <f t="shared" si="12"/>
        <v>0</v>
      </c>
      <c r="K20" s="46">
        <f>IF(AND(J19&gt;0,K19=0),K17/K16,0)</f>
        <v>0</v>
      </c>
      <c r="L20" s="46">
        <f t="shared" si="12"/>
        <v>0</v>
      </c>
      <c r="M20" s="46">
        <f t="shared" si="12"/>
        <v>0</v>
      </c>
      <c r="N20" s="46">
        <f t="shared" si="12"/>
        <v>0</v>
      </c>
      <c r="O20" s="46">
        <f t="shared" si="12"/>
        <v>0</v>
      </c>
      <c r="P20" s="46">
        <f t="shared" si="12"/>
        <v>0</v>
      </c>
      <c r="Q20" s="46">
        <f t="shared" ref="Q20" si="13">IF(AND(P19&gt;0,Q19=0),1-Q17/Q16,0)</f>
        <v>0</v>
      </c>
      <c r="R20" s="46">
        <f t="shared" ref="R20" si="14">IF(AND(Q19&gt;0,R19=0),1-R17/R16,0)</f>
        <v>0.86588434825047589</v>
      </c>
      <c r="S20" s="46">
        <f t="shared" ref="S20" si="15">IF(AND(R19&gt;0,S19=0),1-S17/S16,0)</f>
        <v>0</v>
      </c>
    </row>
    <row r="21" spans="1:19" ht="15.6">
      <c r="A21" s="30"/>
      <c r="B21" s="47" t="s">
        <v>348</v>
      </c>
      <c r="C21" s="29"/>
      <c r="D21" s="48">
        <f>IRR(D16:S16)</f>
        <v>7.858913246873156E-3</v>
      </c>
      <c r="E21" s="4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1:19">
      <c r="B22" s="50"/>
      <c r="D22" s="51"/>
      <c r="J22" s="26" t="s">
        <v>65</v>
      </c>
    </row>
    <row r="23" spans="1:19">
      <c r="E23" s="52"/>
      <c r="H23" s="26" t="s">
        <v>349</v>
      </c>
    </row>
  </sheetData>
  <phoneticPr fontId="42" type="noConversion"/>
  <pageMargins left="0.25" right="0.25" top="0.75" bottom="0.75" header="0.3" footer="0.3"/>
  <pageSetup paperSize="8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V22"/>
  <sheetViews>
    <sheetView zoomScale="70" zoomScaleNormal="70" workbookViewId="0">
      <selection activeCell="I41" sqref="I41"/>
    </sheetView>
  </sheetViews>
  <sheetFormatPr defaultColWidth="9" defaultRowHeight="15.6"/>
  <cols>
    <col min="1" max="1" width="10.6640625" style="10" customWidth="1"/>
    <col min="2" max="2" width="18" style="10" customWidth="1"/>
    <col min="3" max="3" width="9.6640625" style="10" customWidth="1"/>
    <col min="4" max="8" width="18.88671875" style="10" customWidth="1"/>
    <col min="9" max="15" width="20.109375" style="10" customWidth="1"/>
    <col min="16" max="16" width="18.33203125" style="10" customWidth="1"/>
    <col min="17" max="18" width="24" style="10" customWidth="1"/>
    <col min="19" max="16384" width="9" style="10"/>
  </cols>
  <sheetData>
    <row r="1" spans="1:22" ht="21.6" customHeight="1">
      <c r="A1" s="11" t="s">
        <v>215</v>
      </c>
      <c r="B1" s="12"/>
      <c r="C1" s="13">
        <v>0</v>
      </c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13">
        <v>7</v>
      </c>
      <c r="K1" s="13">
        <v>8</v>
      </c>
      <c r="L1" s="13">
        <v>9</v>
      </c>
      <c r="M1" s="13">
        <v>10</v>
      </c>
      <c r="N1" s="13">
        <v>11</v>
      </c>
      <c r="O1" s="13">
        <v>12</v>
      </c>
      <c r="P1" s="13">
        <v>13</v>
      </c>
      <c r="Q1" s="13">
        <v>14</v>
      </c>
      <c r="R1" s="13">
        <v>15</v>
      </c>
    </row>
    <row r="2" spans="1:22" ht="17.399999999999999">
      <c r="A2" s="12">
        <v>0</v>
      </c>
      <c r="B2" s="11" t="s">
        <v>350</v>
      </c>
      <c r="C2" s="13">
        <v>0</v>
      </c>
      <c r="D2" s="13">
        <f>C2</f>
        <v>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2" ht="68.25" customHeight="1">
      <c r="A3" s="12">
        <v>1</v>
      </c>
      <c r="B3" s="11" t="s">
        <v>351</v>
      </c>
      <c r="C3" s="14">
        <v>0</v>
      </c>
      <c r="D3" s="14">
        <f>盈利模式!E63</f>
        <v>867185.16503621498</v>
      </c>
      <c r="E3" s="14">
        <f>盈利模式!E64</f>
        <v>846770.3658593134</v>
      </c>
      <c r="F3" s="14">
        <f>盈利模式!E65</f>
        <v>826355.56668241171</v>
      </c>
      <c r="G3" s="14">
        <f>盈利模式!E66</f>
        <v>805940.76750551001</v>
      </c>
      <c r="H3" s="14">
        <f>盈利模式!E67</f>
        <v>785525.96832860832</v>
      </c>
      <c r="I3" s="14">
        <f>盈利模式!E68</f>
        <v>765111.16915170662</v>
      </c>
      <c r="J3" s="14">
        <f>盈利模式!E69</f>
        <v>744696.36997480493</v>
      </c>
      <c r="K3" s="14">
        <f>盈利模式!E70</f>
        <v>724281.57079790323</v>
      </c>
      <c r="L3" s="14">
        <f>盈利模式!E71</f>
        <v>703866.77162100154</v>
      </c>
      <c r="M3" s="14">
        <f>盈利模式!E72</f>
        <v>683451.97244409996</v>
      </c>
      <c r="N3" s="14">
        <f>盈利模式!E73</f>
        <v>663037.17326719814</v>
      </c>
      <c r="O3" s="14">
        <f>盈利模式!E74</f>
        <v>642622.37409029645</v>
      </c>
      <c r="P3" s="14">
        <f>盈利模式!E75</f>
        <v>622207.57491339487</v>
      </c>
      <c r="Q3" s="14">
        <f>盈利模式!E76</f>
        <v>601792.77573649306</v>
      </c>
      <c r="R3" s="14">
        <f>盈利模式!E77</f>
        <v>581377.97655959148</v>
      </c>
      <c r="S3" s="25"/>
      <c r="T3" s="25"/>
      <c r="U3" s="25"/>
      <c r="V3" s="25"/>
    </row>
    <row r="4" spans="1:22" ht="31.5" customHeight="1">
      <c r="A4" s="12">
        <v>2</v>
      </c>
      <c r="B4" s="11" t="s">
        <v>352</v>
      </c>
      <c r="C4" s="14"/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25"/>
      <c r="T4" s="25"/>
      <c r="U4" s="25"/>
      <c r="V4" s="25"/>
    </row>
    <row r="5" spans="1:22" ht="17.399999999999999">
      <c r="A5" s="12">
        <v>3</v>
      </c>
      <c r="B5" s="11" t="s">
        <v>353</v>
      </c>
      <c r="C5" s="14"/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25"/>
      <c r="T5" s="25"/>
      <c r="U5" s="25"/>
      <c r="V5" s="25"/>
    </row>
    <row r="6" spans="1:22" ht="17.399999999999999">
      <c r="A6" s="12">
        <v>4</v>
      </c>
      <c r="B6" s="11" t="s">
        <v>354</v>
      </c>
      <c r="C6" s="14"/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25"/>
      <c r="T6" s="25"/>
      <c r="U6" s="25"/>
      <c r="V6" s="25"/>
    </row>
    <row r="7" spans="1:22" ht="17.399999999999999">
      <c r="A7" s="12">
        <v>5</v>
      </c>
      <c r="B7" s="11" t="s">
        <v>355</v>
      </c>
      <c r="C7" s="14"/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25"/>
      <c r="T7" s="25"/>
      <c r="U7" s="25"/>
      <c r="V7" s="25"/>
    </row>
    <row r="8" spans="1:22" ht="17.399999999999999">
      <c r="A8" s="12">
        <v>6</v>
      </c>
      <c r="B8" s="11" t="s">
        <v>356</v>
      </c>
      <c r="C8" s="14"/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25"/>
      <c r="T8" s="25"/>
      <c r="U8" s="25"/>
      <c r="V8" s="25"/>
    </row>
    <row r="9" spans="1:22" ht="39" customHeight="1">
      <c r="A9" s="12">
        <v>7</v>
      </c>
      <c r="B9" s="11" t="s">
        <v>357</v>
      </c>
      <c r="C9" s="14">
        <v>0</v>
      </c>
      <c r="D9" s="14">
        <f>SUM(利润及利润分配表!G24)</f>
        <v>30044.16</v>
      </c>
      <c r="E9" s="14">
        <f>SUM(利润及利润分配表!H24)</f>
        <v>30645.0432</v>
      </c>
      <c r="F9" s="14">
        <f>SUM(利润及利润分配表!I24)</f>
        <v>31257.944063999999</v>
      </c>
      <c r="G9" s="14">
        <f>SUM(利润及利润分配表!J24)</f>
        <v>31883.102945279999</v>
      </c>
      <c r="H9" s="14">
        <f>SUM(利润及利润分配表!K24)</f>
        <v>32520.7650041856</v>
      </c>
      <c r="I9" s="14">
        <f>SUM(利润及利润分配表!L24)</f>
        <v>33171.180304269314</v>
      </c>
      <c r="J9" s="14">
        <f>SUM(利润及利润分配表!M24)</f>
        <v>33834.603910354701</v>
      </c>
      <c r="K9" s="14">
        <f>SUM(利润及利润分配表!N24)</f>
        <v>34511.295988561797</v>
      </c>
      <c r="L9" s="14">
        <f>SUM(利润及利润分配表!O24)</f>
        <v>35201.52190833303</v>
      </c>
      <c r="M9" s="14">
        <f>SUM(利润及利润分配表!P24)</f>
        <v>35905.552346499688</v>
      </c>
      <c r="N9" s="14">
        <f>SUM(利润及利润分配表!Q24)</f>
        <v>36623.663393429684</v>
      </c>
      <c r="O9" s="14">
        <f>SUM(利润及利润分配表!R24)</f>
        <v>37356.136661298275</v>
      </c>
      <c r="P9" s="14">
        <f>SUM(利润及利润分配表!S24)</f>
        <v>38103.259394524241</v>
      </c>
      <c r="Q9" s="14">
        <f>SUM(利润及利润分配表!T24)</f>
        <v>38865.324582414723</v>
      </c>
      <c r="R9" s="14">
        <f>SUM(利润及利润分配表!U24)</f>
        <v>39642.631074063014</v>
      </c>
      <c r="S9" s="25"/>
      <c r="T9" s="25"/>
      <c r="U9" s="25"/>
      <c r="V9" s="25"/>
    </row>
    <row r="10" spans="1:22" ht="35.25" customHeight="1">
      <c r="A10" s="12">
        <v>8</v>
      </c>
      <c r="B10" s="11" t="s">
        <v>358</v>
      </c>
      <c r="C10" s="14">
        <v>0</v>
      </c>
      <c r="D10" s="14">
        <f t="shared" ref="D10:O10" si="0">D2+D4+D5+D6-D7-D8-D9</f>
        <v>-30044.16</v>
      </c>
      <c r="E10" s="14">
        <f t="shared" si="0"/>
        <v>-30645.0432</v>
      </c>
      <c r="F10" s="14">
        <f t="shared" si="0"/>
        <v>-31257.944063999999</v>
      </c>
      <c r="G10" s="14">
        <f t="shared" si="0"/>
        <v>-31883.102945279999</v>
      </c>
      <c r="H10" s="14">
        <f t="shared" si="0"/>
        <v>-32520.7650041856</v>
      </c>
      <c r="I10" s="14">
        <f t="shared" si="0"/>
        <v>-33171.180304269314</v>
      </c>
      <c r="J10" s="14">
        <f t="shared" si="0"/>
        <v>-33834.603910354701</v>
      </c>
      <c r="K10" s="14">
        <f t="shared" si="0"/>
        <v>-34511.295988561797</v>
      </c>
      <c r="L10" s="14">
        <f t="shared" si="0"/>
        <v>-35201.52190833303</v>
      </c>
      <c r="M10" s="14">
        <f t="shared" si="0"/>
        <v>-35905.552346499688</v>
      </c>
      <c r="N10" s="14">
        <f t="shared" si="0"/>
        <v>-36623.663393429684</v>
      </c>
      <c r="O10" s="14">
        <f t="shared" si="0"/>
        <v>-37356.136661298275</v>
      </c>
      <c r="P10" s="14">
        <f t="shared" ref="P10:R10" si="1">P2+P4+P5+P6-P7-P8-P9</f>
        <v>-38103.259394524241</v>
      </c>
      <c r="Q10" s="14">
        <f t="shared" si="1"/>
        <v>-38865.324582414723</v>
      </c>
      <c r="R10" s="14">
        <f t="shared" si="1"/>
        <v>-39642.631074063014</v>
      </c>
      <c r="S10" s="25"/>
      <c r="T10" s="25"/>
      <c r="U10" s="25"/>
      <c r="V10" s="25"/>
    </row>
    <row r="11" spans="1:22" ht="38.25" customHeight="1">
      <c r="A11" s="12">
        <v>9</v>
      </c>
      <c r="B11" s="11" t="s">
        <v>359</v>
      </c>
      <c r="C11" s="14">
        <v>0</v>
      </c>
      <c r="D11" s="14">
        <f t="shared" ref="D11:O11" si="2">D10-C10</f>
        <v>-30044.16</v>
      </c>
      <c r="E11" s="14">
        <f t="shared" si="2"/>
        <v>-600.88320000000022</v>
      </c>
      <c r="F11" s="14">
        <f t="shared" si="2"/>
        <v>-612.90086399999927</v>
      </c>
      <c r="G11" s="14">
        <f t="shared" si="2"/>
        <v>-625.15888128000006</v>
      </c>
      <c r="H11" s="14">
        <f t="shared" si="2"/>
        <v>-637.66205890560013</v>
      </c>
      <c r="I11" s="14">
        <f t="shared" si="2"/>
        <v>-650.4153000837141</v>
      </c>
      <c r="J11" s="14">
        <f t="shared" si="2"/>
        <v>-663.42360608538729</v>
      </c>
      <c r="K11" s="14">
        <f t="shared" si="2"/>
        <v>-676.69207820709562</v>
      </c>
      <c r="L11" s="14">
        <f t="shared" si="2"/>
        <v>-690.22591977123375</v>
      </c>
      <c r="M11" s="14">
        <f t="shared" si="2"/>
        <v>-704.0304381666574</v>
      </c>
      <c r="N11" s="14">
        <f t="shared" si="2"/>
        <v>-718.11104692999652</v>
      </c>
      <c r="O11" s="14">
        <f t="shared" si="2"/>
        <v>-732.47326786859048</v>
      </c>
      <c r="P11" s="14">
        <f t="shared" ref="P11" si="3">P10-O10</f>
        <v>-747.12273322596593</v>
      </c>
      <c r="Q11" s="14">
        <f t="shared" ref="Q11" si="4">Q10-P10</f>
        <v>-762.06518789048278</v>
      </c>
      <c r="R11" s="14">
        <f t="shared" ref="R11" si="5">R10-Q10</f>
        <v>-777.30649164829083</v>
      </c>
      <c r="S11" s="25"/>
      <c r="T11" s="25"/>
      <c r="U11" s="25"/>
      <c r="V11" s="25"/>
    </row>
    <row r="12" spans="1:22" ht="40.5" customHeight="1">
      <c r="A12" s="12">
        <v>10</v>
      </c>
      <c r="B12" s="11" t="s">
        <v>229</v>
      </c>
      <c r="C12" s="13"/>
      <c r="D12" s="14">
        <f>借款!B7</f>
        <v>0</v>
      </c>
      <c r="E12" s="14">
        <f>借款!C4</f>
        <v>0</v>
      </c>
      <c r="F12" s="14">
        <f>借款!D4</f>
        <v>0</v>
      </c>
      <c r="G12" s="14">
        <f>借款!E4</f>
        <v>0</v>
      </c>
      <c r="H12" s="14">
        <f>借款!F4</f>
        <v>0</v>
      </c>
      <c r="I12" s="14">
        <f>借款!G4</f>
        <v>0</v>
      </c>
      <c r="J12" s="14">
        <f>借款!H4</f>
        <v>0</v>
      </c>
      <c r="K12" s="14">
        <f>借款!I4</f>
        <v>0</v>
      </c>
      <c r="L12" s="14">
        <f>借款!J4</f>
        <v>0</v>
      </c>
      <c r="M12" s="14">
        <f>借款!K4</f>
        <v>0</v>
      </c>
      <c r="N12" s="14"/>
      <c r="O12" s="14"/>
      <c r="P12" s="14"/>
      <c r="Q12" s="14"/>
      <c r="R12" s="14"/>
    </row>
    <row r="13" spans="1:22" ht="27.75" customHeight="1">
      <c r="A13" s="12">
        <v>11</v>
      </c>
      <c r="B13" s="15" t="s">
        <v>320</v>
      </c>
      <c r="C13" s="13"/>
      <c r="D13" s="14">
        <f>SUM(利润及利润分配表!G48)</f>
        <v>0</v>
      </c>
      <c r="E13" s="14">
        <f>SUM(利润及利润分配表!H48)</f>
        <v>0</v>
      </c>
      <c r="F13" s="14">
        <f>SUM(利润及利润分配表!I48)</f>
        <v>0</v>
      </c>
      <c r="G13" s="14">
        <f>SUM(利润及利润分配表!J48)</f>
        <v>14069.783808708817</v>
      </c>
      <c r="H13" s="14">
        <f>SUM(利润及利润分配表!K48)</f>
        <v>11731.801806113144</v>
      </c>
      <c r="I13" s="14">
        <f>SUM(利润及利润分配表!L48)</f>
        <v>9392.2256483701931</v>
      </c>
      <c r="J13" s="14">
        <f>SUM(利润及利润分配表!M48)</f>
        <v>14102.046904754068</v>
      </c>
      <c r="K13" s="14">
        <f>SUM(利润及利润分配表!N48)</f>
        <v>21694.47864518917</v>
      </c>
      <c r="L13" s="14">
        <f>SUM(利润及利润分配表!O48)</f>
        <v>2297.9457258145558</v>
      </c>
      <c r="M13" s="14">
        <f>SUM(利润及利润分配表!P48)</f>
        <v>-2324.1522177407751</v>
      </c>
      <c r="N13" s="14">
        <f>SUM(利润及利润分配表!Q48)</f>
        <v>-6949.7703134870681</v>
      </c>
      <c r="O13" s="14">
        <f>SUM(利润及利润分配表!R48)</f>
        <v>-11578.978964467911</v>
      </c>
      <c r="P13" s="14">
        <f>SUM(利润及利润分配表!S48)</f>
        <v>-16211.849981788109</v>
      </c>
      <c r="Q13" s="14">
        <f>SUM(利润及利润分配表!T48)</f>
        <v>-20848.456612774477</v>
      </c>
      <c r="R13" s="14">
        <f>SUM(利润及利润分配表!U48)</f>
        <v>-25488.873569700256</v>
      </c>
    </row>
    <row r="14" spans="1:22" ht="27.75" customHeight="1">
      <c r="A14" s="12">
        <v>12</v>
      </c>
      <c r="B14" s="15" t="s">
        <v>258</v>
      </c>
      <c r="C14" s="13"/>
      <c r="D14" s="14">
        <f>SUM(利润及利润分配表!G6)</f>
        <v>0</v>
      </c>
      <c r="E14" s="14">
        <f>SUM(利润及利润分配表!H6)</f>
        <v>0</v>
      </c>
      <c r="F14" s="14">
        <f>SUM(利润及利润分配表!I6)</f>
        <v>0</v>
      </c>
      <c r="G14" s="14">
        <f>SUM(利润及利润分配表!J6)</f>
        <v>0</v>
      </c>
      <c r="H14" s="14">
        <f>SUM(利润及利润分配表!K6)</f>
        <v>0</v>
      </c>
      <c r="I14" s="14">
        <f>SUM(利润及利润分配表!L6)</f>
        <v>0</v>
      </c>
      <c r="J14" s="14">
        <f>SUM(利润及利润分配表!M6)</f>
        <v>0</v>
      </c>
      <c r="K14" s="14">
        <f>SUM(利润及利润分配表!N6)</f>
        <v>-49112.613001807491</v>
      </c>
      <c r="L14" s="14">
        <f>SUM(利润及利润分配表!O6)</f>
        <v>9717.0987940598479</v>
      </c>
      <c r="M14" s="14">
        <f>SUM(利润及利润分配表!P6)</f>
        <v>9435.2661682548332</v>
      </c>
      <c r="N14" s="14">
        <f>SUM(利润及利润分配表!Q6)</f>
        <v>9153.4335424498186</v>
      </c>
      <c r="O14" s="14">
        <f>SUM(利润及利润分配表!R6)</f>
        <v>8871.6009166448021</v>
      </c>
      <c r="P14" s="14">
        <f>SUM(利润及利润分配表!S6)</f>
        <v>8589.768290839791</v>
      </c>
      <c r="Q14" s="14">
        <f>SUM(利润及利润分配表!T6)</f>
        <v>8307.9356650347727</v>
      </c>
      <c r="R14" s="14">
        <f>SUM(利润及利润分配表!U6)</f>
        <v>8026.1030392297607</v>
      </c>
    </row>
    <row r="15" spans="1:22" ht="34.5" customHeight="1">
      <c r="A15" s="12">
        <v>13</v>
      </c>
      <c r="B15" s="16" t="s">
        <v>360</v>
      </c>
      <c r="C15" s="17"/>
      <c r="D15" s="18">
        <f>SUM(利润及利润分配表!G9)</f>
        <v>0</v>
      </c>
      <c r="E15" s="18">
        <f>SUM(利润及利润分配表!H9)</f>
        <v>0</v>
      </c>
      <c r="F15" s="18">
        <f>SUM(利润及利润分配表!I9)</f>
        <v>0</v>
      </c>
      <c r="G15" s="18">
        <f>SUM(利润及利润分配表!J9)</f>
        <v>0</v>
      </c>
      <c r="H15" s="18">
        <f>SUM(利润及利润分配表!K9)</f>
        <v>0</v>
      </c>
      <c r="I15" s="18">
        <f>SUM(利润及利润分配表!L9)</f>
        <v>0</v>
      </c>
      <c r="J15" s="18">
        <f>SUM(利润及利润分配表!M9)</f>
        <v>0</v>
      </c>
      <c r="K15" s="18">
        <f>SUM(利润及利润分配表!N9)</f>
        <v>-409271.77501506242</v>
      </c>
      <c r="L15" s="18">
        <f>SUM(利润及利润分配表!O9)</f>
        <v>80975.823283832055</v>
      </c>
      <c r="M15" s="18">
        <f>SUM(利润及利润分配表!P9)</f>
        <v>78627.218068790273</v>
      </c>
      <c r="N15" s="18">
        <f>SUM(利润及利润分配表!Q9)</f>
        <v>76278.612853748476</v>
      </c>
      <c r="O15" s="18">
        <f>SUM(利润及利润分配表!R9)</f>
        <v>73930.00763870668</v>
      </c>
      <c r="P15" s="18">
        <f>SUM(利润及利润分配表!S9)</f>
        <v>71581.402423664913</v>
      </c>
      <c r="Q15" s="18">
        <f>SUM(利润及利润分配表!T9)</f>
        <v>69232.797208623102</v>
      </c>
      <c r="R15" s="18">
        <f>SUM(利润及利润分配表!U9)</f>
        <v>66884.191993581335</v>
      </c>
    </row>
    <row r="16" spans="1:22" ht="37.5" customHeight="1">
      <c r="A16" s="12">
        <v>14</v>
      </c>
      <c r="B16" s="19" t="s">
        <v>358</v>
      </c>
      <c r="C16" s="20"/>
      <c r="D16" s="21">
        <f t="shared" ref="D16:O16" si="6">SUM(D2+D3+D4+D5+D6-D7-D8-D9-D12-D13-D14-D15)</f>
        <v>837141.00503621495</v>
      </c>
      <c r="E16" s="21">
        <f t="shared" si="6"/>
        <v>816125.32265931345</v>
      </c>
      <c r="F16" s="21">
        <f t="shared" si="6"/>
        <v>795097.62261841167</v>
      </c>
      <c r="G16" s="21">
        <f t="shared" si="6"/>
        <v>759987.88075152121</v>
      </c>
      <c r="H16" s="21">
        <f t="shared" si="6"/>
        <v>741273.40151830961</v>
      </c>
      <c r="I16" s="21">
        <f t="shared" si="6"/>
        <v>722547.76319906709</v>
      </c>
      <c r="J16" s="21">
        <f t="shared" si="6"/>
        <v>696759.71915969625</v>
      </c>
      <c r="K16" s="21">
        <f t="shared" si="6"/>
        <v>1126460.184181022</v>
      </c>
      <c r="L16" s="21">
        <f t="shared" si="6"/>
        <v>575674.38190896204</v>
      </c>
      <c r="M16" s="21">
        <f t="shared" si="6"/>
        <v>561808.08807829604</v>
      </c>
      <c r="N16" s="21">
        <f t="shared" si="6"/>
        <v>547931.23379105714</v>
      </c>
      <c r="O16" s="21">
        <f t="shared" si="6"/>
        <v>534043.60783811461</v>
      </c>
      <c r="P16" s="21">
        <f t="shared" ref="P16:R16" si="7">SUM(P2+P3+P4+P5+P6-P7-P8-P9-P12-P13-P14-P15)</f>
        <v>520144.99478615401</v>
      </c>
      <c r="Q16" s="21">
        <f t="shared" si="7"/>
        <v>506235.17489319498</v>
      </c>
      <c r="R16" s="21">
        <f t="shared" si="7"/>
        <v>492313.92402241763</v>
      </c>
    </row>
    <row r="17" spans="1:18" ht="33" customHeight="1">
      <c r="A17" s="12">
        <v>15</v>
      </c>
      <c r="B17" s="22" t="s">
        <v>213</v>
      </c>
      <c r="C17" s="23"/>
      <c r="D17" s="24">
        <f>SUM(D16)</f>
        <v>837141.00503621495</v>
      </c>
      <c r="E17" s="24">
        <f>D17+E16</f>
        <v>1653266.3276955285</v>
      </c>
      <c r="F17" s="24">
        <f t="shared" ref="F17:O17" si="8">E17+F16</f>
        <v>2448363.9503139402</v>
      </c>
      <c r="G17" s="24">
        <f t="shared" si="8"/>
        <v>3208351.8310654615</v>
      </c>
      <c r="H17" s="24">
        <f t="shared" si="8"/>
        <v>3949625.232583771</v>
      </c>
      <c r="I17" s="24">
        <f t="shared" si="8"/>
        <v>4672172.9957828382</v>
      </c>
      <c r="J17" s="24">
        <f t="shared" si="8"/>
        <v>5368932.7149425345</v>
      </c>
      <c r="K17" s="24">
        <f t="shared" si="8"/>
        <v>6495392.8991235569</v>
      </c>
      <c r="L17" s="24">
        <f t="shared" si="8"/>
        <v>7071067.2810325194</v>
      </c>
      <c r="M17" s="24">
        <f t="shared" si="8"/>
        <v>7632875.3691108152</v>
      </c>
      <c r="N17" s="24">
        <f t="shared" si="8"/>
        <v>8180806.6029018722</v>
      </c>
      <c r="O17" s="24">
        <f t="shared" si="8"/>
        <v>8714850.210739987</v>
      </c>
      <c r="P17" s="24">
        <f t="shared" ref="P17" si="9">O17+P16</f>
        <v>9234995.2055261414</v>
      </c>
      <c r="Q17" s="24">
        <f t="shared" ref="Q17" si="10">P17+Q16</f>
        <v>9741230.3804193363</v>
      </c>
      <c r="R17" s="24">
        <f t="shared" ref="R17" si="11">Q17+R16</f>
        <v>10233544.304441754</v>
      </c>
    </row>
    <row r="19" spans="1:18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8"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2" spans="1:18" s="9" customFormat="1"/>
  </sheetData>
  <phoneticPr fontId="42" type="noConversion"/>
  <pageMargins left="0.25" right="0.25" top="0.75" bottom="0.75" header="0.3" footer="0.3"/>
  <pageSetup paperSize="8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0"/>
  <sheetViews>
    <sheetView topLeftCell="C13" workbookViewId="0">
      <selection activeCell="F17" sqref="F17"/>
    </sheetView>
  </sheetViews>
  <sheetFormatPr defaultColWidth="9" defaultRowHeight="14.4"/>
  <cols>
    <col min="1" max="1" width="13" customWidth="1"/>
    <col min="2" max="3" width="17.21875" customWidth="1"/>
    <col min="4" max="11" width="16.109375" customWidth="1"/>
    <col min="12" max="13" width="13.88671875" customWidth="1"/>
    <col min="14" max="14" width="17.21875" customWidth="1"/>
  </cols>
  <sheetData>
    <row r="2" spans="1:11">
      <c r="B2" s="1" t="s">
        <v>361</v>
      </c>
      <c r="C2" s="2">
        <f>投资估算!C44</f>
        <v>0</v>
      </c>
      <c r="D2" s="1" t="s">
        <v>362</v>
      </c>
      <c r="E2" s="3">
        <v>4.9500000000000002E-2</v>
      </c>
      <c r="F2" s="1" t="s">
        <v>250</v>
      </c>
    </row>
    <row r="3" spans="1:11">
      <c r="A3" s="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</row>
    <row r="4" spans="1:11">
      <c r="A4" s="5" t="s">
        <v>363</v>
      </c>
      <c r="B4" s="6">
        <f>$C$2/10</f>
        <v>0</v>
      </c>
      <c r="C4" s="6">
        <f t="shared" ref="C4:K4" si="0">$C$2/10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</row>
    <row r="5" spans="1:11">
      <c r="A5" s="5" t="s">
        <v>364</v>
      </c>
      <c r="B5" s="6">
        <f>C2-B4</f>
        <v>0</v>
      </c>
      <c r="C5" s="6">
        <f>B5-C4</f>
        <v>0</v>
      </c>
      <c r="D5" s="6">
        <f t="shared" ref="D5:K5" si="1">C5-D4</f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  <c r="I5" s="6">
        <f t="shared" si="1"/>
        <v>0</v>
      </c>
      <c r="J5" s="6">
        <f t="shared" si="1"/>
        <v>0</v>
      </c>
      <c r="K5" s="6">
        <f t="shared" si="1"/>
        <v>0</v>
      </c>
    </row>
    <row r="6" spans="1:11">
      <c r="A6" s="5" t="s">
        <v>365</v>
      </c>
      <c r="B6" s="6">
        <f>C2*E2</f>
        <v>0</v>
      </c>
      <c r="C6" s="6">
        <f>B5*$E$2</f>
        <v>0</v>
      </c>
      <c r="D6" s="6">
        <f t="shared" ref="D6:K6" si="2">C5*$E$2</f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</row>
    <row r="7" spans="1:11">
      <c r="A7" s="5" t="s">
        <v>366</v>
      </c>
      <c r="B7" s="6">
        <f>B4+B6</f>
        <v>0</v>
      </c>
      <c r="C7" s="6">
        <f t="shared" ref="C7:K7" si="3">C4+C6</f>
        <v>0</v>
      </c>
      <c r="D7" s="6">
        <f t="shared" si="3"/>
        <v>0</v>
      </c>
      <c r="E7" s="6">
        <f t="shared" si="3"/>
        <v>0</v>
      </c>
      <c r="F7" s="6">
        <f t="shared" si="3"/>
        <v>0</v>
      </c>
      <c r="G7" s="6">
        <f t="shared" si="3"/>
        <v>0</v>
      </c>
      <c r="H7" s="6">
        <f t="shared" si="3"/>
        <v>0</v>
      </c>
      <c r="I7" s="6">
        <f t="shared" si="3"/>
        <v>0</v>
      </c>
      <c r="J7" s="6">
        <f t="shared" si="3"/>
        <v>0</v>
      </c>
      <c r="K7" s="6">
        <f t="shared" si="3"/>
        <v>0</v>
      </c>
    </row>
    <row r="9" spans="1:11">
      <c r="A9" s="1"/>
      <c r="B9" s="2"/>
    </row>
    <row r="10" spans="1:11">
      <c r="A10" s="7"/>
      <c r="B10" s="8"/>
    </row>
  </sheetData>
  <phoneticPr fontId="4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储能技术参数</vt:lpstr>
      <vt:lpstr>变量</vt:lpstr>
      <vt:lpstr>投资估算</vt:lpstr>
      <vt:lpstr>盈利模式</vt:lpstr>
      <vt:lpstr>资产负债表</vt:lpstr>
      <vt:lpstr>利润及利润分配表</vt:lpstr>
      <vt:lpstr>现金流量表</vt:lpstr>
      <vt:lpstr>流动资产</vt:lpstr>
      <vt:lpstr>借款</vt:lpstr>
      <vt:lpstr>储能技术参数!Print_Area</vt:lpstr>
      <vt:lpstr>利润及利润分配表!Print_Area</vt:lpstr>
      <vt:lpstr>流动资产!Print_Area</vt:lpstr>
      <vt:lpstr>投资估算!Print_Area</vt:lpstr>
      <vt:lpstr>现金流量表!Print_Area</vt:lpstr>
      <vt:lpstr>盈利模式!Print_Area</vt:lpstr>
      <vt:lpstr>资产负债表!Print_Area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gwang</cp:lastModifiedBy>
  <cp:lastPrinted>2019-01-09T05:41:00Z</cp:lastPrinted>
  <dcterms:created xsi:type="dcterms:W3CDTF">2017-09-12T04:55:00Z</dcterms:created>
  <dcterms:modified xsi:type="dcterms:W3CDTF">2022-03-22T03:20:29Z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A1313943155C46108B6A8BB76BFB7342</vt:lpwstr>
  </property>
</Properties>
</file>