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8855"/>
  </bookViews>
  <sheets>
    <sheet name="投资估算表" sheetId="2" r:id="rId1"/>
    <sheet name="项目总折旧摊销表   " sheetId="6" r:id="rId2"/>
    <sheet name="项目原材料及动力消耗费用估算表 " sheetId="4" r:id="rId3"/>
    <sheet name="项目销售收入及销售税金估算表" sheetId="3" r:id="rId4"/>
    <sheet name="项目所得税前投资财务现金流量表 " sheetId="8" r:id="rId5"/>
    <sheet name=" 项目损益和利润分配表 " sheetId="9" r:id="rId6"/>
    <sheet name="项目总成本费用表       " sheetId="5" r:id="rId7"/>
    <sheet name="绿色能源发电明细" sheetId="11" r:id="rId8"/>
    <sheet name="综合表格" sheetId="12" r:id="rId9"/>
  </sheets>
  <calcPr calcId="144525"/>
</workbook>
</file>

<file path=xl/sharedStrings.xml><?xml version="1.0" encoding="utf-8"?>
<sst xmlns="http://schemas.openxmlformats.org/spreadsheetml/2006/main" count="285" uniqueCount="193">
  <si>
    <t>项目总投资估算表</t>
  </si>
  <si>
    <t>关注公众号【储能】</t>
  </si>
  <si>
    <t>序号</t>
  </si>
  <si>
    <t>项目</t>
  </si>
  <si>
    <r>
      <rPr>
        <b/>
        <sz val="10"/>
        <color rgb="FF000000"/>
        <rFont val="宋体"/>
        <charset val="134"/>
      </rPr>
      <t>类</t>
    </r>
    <r>
      <rPr>
        <b/>
        <sz val="10"/>
        <color rgb="FF000000"/>
        <rFont val="Times New Roman"/>
        <charset val="134"/>
      </rPr>
      <t xml:space="preserve"> </t>
    </r>
    <r>
      <rPr>
        <b/>
        <sz val="10"/>
        <color rgb="FF000000"/>
        <rFont val="宋体"/>
        <charset val="134"/>
      </rPr>
      <t>别</t>
    </r>
  </si>
  <si>
    <r>
      <rPr>
        <b/>
        <sz val="10"/>
        <color rgb="FF000000"/>
        <rFont val="宋体"/>
        <charset val="134"/>
      </rPr>
      <t>名</t>
    </r>
    <r>
      <rPr>
        <b/>
        <sz val="10"/>
        <color rgb="FF000000"/>
        <rFont val="Times New Roman"/>
        <charset val="134"/>
      </rPr>
      <t xml:space="preserve"> </t>
    </r>
    <r>
      <rPr>
        <b/>
        <sz val="12"/>
        <color theme="1"/>
        <rFont val="仿宋"/>
        <charset val="134"/>
      </rPr>
      <t xml:space="preserve"> 称</t>
    </r>
  </si>
  <si>
    <r>
      <rPr>
        <b/>
        <sz val="10"/>
        <color rgb="FF000000"/>
        <rFont val="宋体"/>
        <charset val="134"/>
      </rPr>
      <t>规</t>
    </r>
    <r>
      <rPr>
        <b/>
        <sz val="10"/>
        <color rgb="FF000000"/>
        <rFont val="Times New Roman"/>
        <charset val="134"/>
      </rPr>
      <t xml:space="preserve"> </t>
    </r>
    <r>
      <rPr>
        <b/>
        <sz val="10"/>
        <color rgb="FF000000"/>
        <rFont val="宋体"/>
        <charset val="134"/>
      </rPr>
      <t>格</t>
    </r>
  </si>
  <si>
    <t>估算单价</t>
  </si>
  <si>
    <r>
      <rPr>
        <b/>
        <sz val="10"/>
        <color rgb="FF000000"/>
        <rFont val="宋体"/>
        <charset val="134"/>
        <scheme val="major"/>
      </rPr>
      <t xml:space="preserve">估算投资
</t>
    </r>
    <r>
      <rPr>
        <b/>
        <sz val="10"/>
        <color theme="1"/>
        <rFont val="宋体"/>
        <charset val="134"/>
        <scheme val="major"/>
      </rPr>
      <t>（万元）</t>
    </r>
  </si>
  <si>
    <r>
      <rPr>
        <b/>
        <sz val="10"/>
        <color rgb="FF000000"/>
        <rFont val="宋体"/>
        <charset val="134"/>
      </rPr>
      <t>备</t>
    </r>
    <r>
      <rPr>
        <b/>
        <sz val="10"/>
        <color rgb="FF000000"/>
        <rFont val="Times New Roman"/>
        <charset val="134"/>
      </rPr>
      <t xml:space="preserve"> </t>
    </r>
    <r>
      <rPr>
        <b/>
        <sz val="10"/>
        <color rgb="FF000000"/>
        <rFont val="宋体"/>
        <charset val="134"/>
      </rPr>
      <t>注</t>
    </r>
  </si>
  <si>
    <t>建设投资</t>
  </si>
  <si>
    <t>工程费用</t>
  </si>
  <si>
    <t>1.1.1</t>
  </si>
  <si>
    <t>土建工程</t>
  </si>
  <si>
    <t>1.1.2</t>
  </si>
  <si>
    <t>设备采购及安装</t>
  </si>
  <si>
    <t>变电站</t>
  </si>
  <si>
    <t>220kV大龙东变电站</t>
  </si>
  <si>
    <t>常规变</t>
  </si>
  <si>
    <t>含110kV开关站，后期转为出线间隔</t>
  </si>
  <si>
    <t>1.1.3</t>
  </si>
  <si>
    <t>电网铺设</t>
  </si>
  <si>
    <t>线路</t>
  </si>
  <si>
    <t>500kV铜仁变～大龙东220kV线路</t>
  </si>
  <si>
    <t>LGJ-2×630</t>
  </si>
  <si>
    <t>同塔双回</t>
  </si>
  <si>
    <t>工程建设其他费用</t>
  </si>
  <si>
    <t>1.2.1</t>
  </si>
  <si>
    <t>前期咨询费用</t>
  </si>
  <si>
    <t>1.2.2</t>
  </si>
  <si>
    <t>勘察费用</t>
  </si>
  <si>
    <t>1.2.3</t>
  </si>
  <si>
    <t>设计费用</t>
  </si>
  <si>
    <t>1.2.4</t>
  </si>
  <si>
    <t>施工监理费</t>
  </si>
  <si>
    <t>1.2.5</t>
  </si>
  <si>
    <t>招标代理费</t>
  </si>
  <si>
    <t>1.2.6</t>
  </si>
  <si>
    <t>场地准备费及临时设施费</t>
  </si>
  <si>
    <t>1.2.7</t>
  </si>
  <si>
    <t>土地费用</t>
  </si>
  <si>
    <t>1.2.8</t>
  </si>
  <si>
    <t>联合试运转费</t>
  </si>
  <si>
    <t>1.2.9</t>
  </si>
  <si>
    <t>人员培训费</t>
  </si>
  <si>
    <t>基本预备费</t>
  </si>
  <si>
    <t>静态总投资</t>
  </si>
  <si>
    <t>2000万开关站建设</t>
  </si>
  <si>
    <t>建设期利息</t>
  </si>
  <si>
    <t>工程投投资</t>
  </si>
  <si>
    <t>附表6： 项目总折旧摊销表                                                                           单位:万元</t>
  </si>
  <si>
    <t>固定资产</t>
  </si>
  <si>
    <t>残值率</t>
  </si>
  <si>
    <t>折旧年限</t>
  </si>
  <si>
    <t>折旧摊销费</t>
  </si>
  <si>
    <t>设备及安装</t>
  </si>
  <si>
    <t>原值</t>
  </si>
  <si>
    <t>折旧费</t>
  </si>
  <si>
    <t>残值</t>
  </si>
  <si>
    <t>电网</t>
  </si>
  <si>
    <t>无形资产</t>
  </si>
  <si>
    <t>摊销费</t>
  </si>
  <si>
    <t>附表4：项目原材料及动力消耗费用估算表                                                              单位: 万元</t>
  </si>
  <si>
    <r>
      <rPr>
        <sz val="9"/>
        <color theme="1"/>
        <rFont val="宋体"/>
        <charset val="134"/>
      </rPr>
      <t>项</t>
    </r>
    <r>
      <rPr>
        <sz val="9"/>
        <color theme="1"/>
        <rFont val="Times New Roman"/>
        <charset val="134"/>
      </rPr>
      <t xml:space="preserve">    </t>
    </r>
    <r>
      <rPr>
        <sz val="9"/>
        <color theme="1"/>
        <rFont val="宋体"/>
        <charset val="134"/>
      </rPr>
      <t>目</t>
    </r>
  </si>
  <si>
    <t>单位</t>
  </si>
  <si>
    <t>单价（元）</t>
  </si>
  <si>
    <t>年售电量(万KW.h)</t>
  </si>
  <si>
    <t>用电递增系数</t>
  </si>
  <si>
    <t>用电成本合计</t>
  </si>
  <si>
    <t>用电量合计</t>
  </si>
  <si>
    <t>自有电源用电量合计</t>
  </si>
  <si>
    <t>自有电源成本</t>
  </si>
  <si>
    <t>用电量</t>
  </si>
  <si>
    <t>风电</t>
  </si>
  <si>
    <t>元/KW.h</t>
  </si>
  <si>
    <t>光伏</t>
  </si>
  <si>
    <t>自有生产负荷</t>
  </si>
  <si>
    <t>其他电源</t>
  </si>
  <si>
    <t>1.3.1</t>
  </si>
  <si>
    <t>1.3.2</t>
  </si>
  <si>
    <t>电网购电</t>
  </si>
  <si>
    <t>电压等级用电量占比</t>
  </si>
  <si>
    <t>1.4.1</t>
  </si>
  <si>
    <t>110KV</t>
  </si>
  <si>
    <t>1.4.2</t>
  </si>
  <si>
    <t>35KV</t>
  </si>
  <si>
    <t>1.4.3</t>
  </si>
  <si>
    <t>10KV</t>
  </si>
  <si>
    <t>1.4.4</t>
  </si>
  <si>
    <t>居民用电</t>
  </si>
  <si>
    <t>电网损耗</t>
  </si>
  <si>
    <t>1.5.1</t>
  </si>
  <si>
    <t>1.5.2</t>
  </si>
  <si>
    <t>1.5.3</t>
  </si>
  <si>
    <t>1.5.4</t>
  </si>
  <si>
    <t>燃料动力费</t>
  </si>
  <si>
    <t>水</t>
  </si>
  <si>
    <r>
      <rPr>
        <sz val="10"/>
        <color theme="1"/>
        <rFont val="宋体"/>
        <charset val="134"/>
      </rPr>
      <t>万</t>
    </r>
    <r>
      <rPr>
        <sz val="10"/>
        <color theme="1"/>
        <rFont val="Times New Roman"/>
        <charset val="134"/>
      </rPr>
      <t>m</t>
    </r>
    <r>
      <rPr>
        <vertAlign val="superscript"/>
        <sz val="10"/>
        <color theme="1"/>
        <rFont val="Times New Roman"/>
        <charset val="134"/>
      </rPr>
      <t>3</t>
    </r>
  </si>
  <si>
    <t>电</t>
  </si>
  <si>
    <r>
      <rPr>
        <sz val="10"/>
        <color theme="1"/>
        <rFont val="宋体"/>
        <charset val="134"/>
      </rPr>
      <t>万</t>
    </r>
    <r>
      <rPr>
        <sz val="10"/>
        <color theme="1"/>
        <rFont val="Times New Roman"/>
        <charset val="134"/>
      </rPr>
      <t>kWh</t>
    </r>
  </si>
  <si>
    <t>总可变成本费用</t>
  </si>
  <si>
    <r>
      <rPr>
        <b/>
        <sz val="12"/>
        <color theme="1"/>
        <rFont val="宋体"/>
        <charset val="134"/>
      </rPr>
      <t>附表</t>
    </r>
    <r>
      <rPr>
        <b/>
        <sz val="12"/>
        <color theme="1"/>
        <rFont val="Times New Roman"/>
        <charset val="134"/>
      </rPr>
      <t>3  </t>
    </r>
    <r>
      <rPr>
        <b/>
        <sz val="12"/>
        <color theme="1"/>
        <rFont val="宋体"/>
        <charset val="134"/>
      </rPr>
      <t>：项目销售收入及销售税金估算表</t>
    </r>
    <r>
      <rPr>
        <b/>
        <sz val="12"/>
        <color theme="1"/>
        <rFont val="Times New Roman"/>
        <charset val="134"/>
      </rPr>
      <t xml:space="preserve">                                              </t>
    </r>
    <r>
      <rPr>
        <b/>
        <sz val="12"/>
        <color theme="1"/>
        <rFont val="宋体"/>
        <charset val="134"/>
      </rPr>
      <t xml:space="preserve">               </t>
    </r>
    <r>
      <rPr>
        <b/>
        <sz val="12"/>
        <color theme="1"/>
        <rFont val="Times New Roman"/>
        <charset val="134"/>
      </rPr>
      <t xml:space="preserve">    </t>
    </r>
    <r>
      <rPr>
        <b/>
        <sz val="12"/>
        <color theme="1"/>
        <rFont val="宋体"/>
        <charset val="134"/>
      </rPr>
      <t>单位：</t>
    </r>
    <r>
      <rPr>
        <b/>
        <sz val="12"/>
        <color theme="1"/>
        <rFont val="Times New Roman"/>
        <charset val="134"/>
      </rPr>
      <t> </t>
    </r>
    <r>
      <rPr>
        <b/>
        <sz val="12"/>
        <color theme="1"/>
        <rFont val="宋体"/>
        <charset val="134"/>
      </rPr>
      <t>万元</t>
    </r>
  </si>
  <si>
    <t>单价（万KW.h）</t>
  </si>
  <si>
    <t>销售收入</t>
  </si>
  <si>
    <t>自有电源收入</t>
  </si>
  <si>
    <t>万元</t>
  </si>
  <si>
    <t>35kv</t>
  </si>
  <si>
    <t>10kv</t>
  </si>
  <si>
    <t>1.1.4</t>
  </si>
  <si>
    <t>电网购电销售差价收入</t>
  </si>
  <si>
    <t>销售税金</t>
  </si>
  <si>
    <t>自有电源销售增值税</t>
  </si>
  <si>
    <t>电网购电销售增值税</t>
  </si>
  <si>
    <t>城建税及教育费附加</t>
  </si>
  <si>
    <r>
      <rPr>
        <b/>
        <sz val="12"/>
        <color theme="1"/>
        <rFont val="宋体"/>
        <charset val="134"/>
      </rPr>
      <t>附表</t>
    </r>
    <r>
      <rPr>
        <b/>
        <sz val="12"/>
        <color theme="1"/>
        <rFont val="Times New Roman"/>
        <charset val="134"/>
      </rPr>
      <t>8</t>
    </r>
    <r>
      <rPr>
        <b/>
        <sz val="12"/>
        <color theme="1"/>
        <rFont val="宋体"/>
        <charset val="134"/>
      </rPr>
      <t>：项目所得税后投资财务现金流量表</t>
    </r>
    <r>
      <rPr>
        <b/>
        <sz val="12"/>
        <color theme="1"/>
        <rFont val="Times New Roman"/>
        <charset val="134"/>
      </rPr>
      <t xml:space="preserve">                                      </t>
    </r>
    <r>
      <rPr>
        <b/>
        <sz val="12"/>
        <color theme="1"/>
        <rFont val="宋体"/>
        <charset val="134"/>
      </rPr>
      <t>　　单位：万元</t>
    </r>
  </si>
  <si>
    <t>年份</t>
  </si>
  <si>
    <t>现金流入</t>
  </si>
  <si>
    <t>回收固定资产余值</t>
  </si>
  <si>
    <t>回收流动资金</t>
  </si>
  <si>
    <t>其它</t>
  </si>
  <si>
    <t>现金流出</t>
  </si>
  <si>
    <t>流动资金</t>
  </si>
  <si>
    <t>总成本</t>
  </si>
  <si>
    <t>所得税</t>
  </si>
  <si>
    <t>净现金流量</t>
  </si>
  <si>
    <t>累计现金流量</t>
  </si>
  <si>
    <t>静态投资回收期</t>
  </si>
  <si>
    <t>年</t>
  </si>
  <si>
    <t>动态</t>
  </si>
  <si>
    <r>
      <rPr>
        <sz val="10"/>
        <color theme="1"/>
        <rFont val="Times New Roman"/>
        <charset val="134"/>
      </rPr>
      <t>财务内部收益率</t>
    </r>
    <r>
      <rPr>
        <sz val="10"/>
        <color theme="1"/>
        <rFont val="Times New Roman"/>
        <charset val="134"/>
      </rPr>
      <t>IRR</t>
    </r>
  </si>
  <si>
    <t>%</t>
  </si>
  <si>
    <t>指标</t>
  </si>
  <si>
    <r>
      <rPr>
        <sz val="10"/>
        <color theme="1"/>
        <rFont val="宋体"/>
        <charset val="134"/>
      </rPr>
      <t>财务净现值（</t>
    </r>
    <r>
      <rPr>
        <sz val="10"/>
        <color theme="1"/>
        <rFont val="Times New Roman"/>
        <charset val="134"/>
      </rPr>
      <t>i=10%</t>
    </r>
    <r>
      <rPr>
        <sz val="10"/>
        <color theme="1"/>
        <rFont val="宋体"/>
        <charset val="134"/>
      </rPr>
      <t>）</t>
    </r>
  </si>
  <si>
    <r>
      <rPr>
        <b/>
        <sz val="12"/>
        <color theme="1"/>
        <rFont val="宋体"/>
        <charset val="134"/>
      </rPr>
      <t>附表9：</t>
    </r>
    <r>
      <rPr>
        <b/>
        <sz val="12"/>
        <color theme="1"/>
        <rFont val="Times New Roman"/>
        <charset val="134"/>
      </rPr>
      <t> </t>
    </r>
    <r>
      <rPr>
        <b/>
        <sz val="12"/>
        <color theme="1"/>
        <rFont val="宋体"/>
        <charset val="134"/>
      </rPr>
      <t>项目损益和利润分配表</t>
    </r>
    <r>
      <rPr>
        <b/>
        <sz val="12"/>
        <color theme="1"/>
        <rFont val="Times New Roman"/>
        <charset val="134"/>
      </rPr>
      <t xml:space="preserve">                                         </t>
    </r>
    <r>
      <rPr>
        <b/>
        <sz val="12"/>
        <color theme="1"/>
        <rFont val="宋体"/>
        <charset val="134"/>
      </rPr>
      <t xml:space="preserve">                              </t>
    </r>
    <r>
      <rPr>
        <b/>
        <sz val="12"/>
        <color theme="1"/>
        <rFont val="Times New Roman"/>
        <charset val="134"/>
      </rPr>
      <t xml:space="preserve">   </t>
    </r>
    <r>
      <rPr>
        <b/>
        <sz val="12"/>
        <color theme="1"/>
        <rFont val="宋体"/>
        <charset val="134"/>
      </rPr>
      <t>单位：万元</t>
    </r>
  </si>
  <si>
    <r>
      <rPr>
        <sz val="12"/>
        <color theme="1"/>
        <rFont val="宋体"/>
        <charset val="134"/>
      </rPr>
      <t>项</t>
    </r>
    <r>
      <rPr>
        <sz val="12"/>
        <color theme="1"/>
        <rFont val="Times New Roman"/>
        <charset val="134"/>
      </rPr>
      <t xml:space="preserve">     </t>
    </r>
    <r>
      <rPr>
        <sz val="12"/>
        <color theme="1"/>
        <rFont val="宋体"/>
        <charset val="134"/>
      </rPr>
      <t>目</t>
    </r>
  </si>
  <si>
    <t>产品销售收入</t>
  </si>
  <si>
    <t>实缴增值税金</t>
  </si>
  <si>
    <t>城建及教育附加</t>
  </si>
  <si>
    <t>年总成本费用</t>
  </si>
  <si>
    <t>利润总额</t>
  </si>
  <si>
    <t>弥补前年度亏损额</t>
  </si>
  <si>
    <t>应缴所得税额</t>
  </si>
  <si>
    <t>税后利润</t>
  </si>
  <si>
    <t>盈余公积及公益金</t>
  </si>
  <si>
    <t>可供分配利润</t>
  </si>
  <si>
    <t>应付利润</t>
  </si>
  <si>
    <t>未分配利润</t>
  </si>
  <si>
    <t>累计未分配利润</t>
  </si>
  <si>
    <r>
      <rPr>
        <b/>
        <sz val="12"/>
        <color theme="1"/>
        <rFont val="宋体"/>
        <charset val="134"/>
      </rPr>
      <t>附表5：项目总成本费用表</t>
    </r>
    <r>
      <rPr>
        <b/>
        <sz val="12"/>
        <color theme="1"/>
        <rFont val="Times New Roman"/>
        <charset val="134"/>
      </rPr>
      <t xml:space="preserve">                                   </t>
    </r>
    <r>
      <rPr>
        <b/>
        <sz val="12"/>
        <color theme="1"/>
        <rFont val="宋体"/>
        <charset val="134"/>
      </rPr>
      <t xml:space="preserve">                                       </t>
    </r>
    <r>
      <rPr>
        <b/>
        <sz val="12"/>
        <color theme="1"/>
        <rFont val="Times New Roman"/>
        <charset val="134"/>
      </rPr>
      <t xml:space="preserve">  </t>
    </r>
    <r>
      <rPr>
        <b/>
        <sz val="12"/>
        <color theme="1"/>
        <rFont val="宋体"/>
        <charset val="134"/>
      </rPr>
      <t>单位：万元</t>
    </r>
  </si>
  <si>
    <r>
      <rPr>
        <sz val="9"/>
        <color theme="1"/>
        <rFont val="Times New Roman"/>
        <charset val="134"/>
      </rPr>
      <t>项</t>
    </r>
    <r>
      <rPr>
        <sz val="9"/>
        <color theme="1"/>
        <rFont val="Times New Roman"/>
        <charset val="134"/>
      </rPr>
      <t xml:space="preserve">    </t>
    </r>
    <r>
      <rPr>
        <sz val="9"/>
        <color theme="1"/>
        <rFont val="Times New Roman"/>
        <charset val="134"/>
      </rPr>
      <t>目</t>
    </r>
  </si>
  <si>
    <t>各产品年可变成本</t>
  </si>
  <si>
    <t>工资及福利</t>
  </si>
  <si>
    <t>修理费</t>
  </si>
  <si>
    <t>其他生产成本</t>
  </si>
  <si>
    <t>其他销售费用</t>
  </si>
  <si>
    <t>其他管理费用</t>
  </si>
  <si>
    <t>摊销费用</t>
  </si>
  <si>
    <t>利息费用</t>
  </si>
  <si>
    <t>总成本费用</t>
  </si>
  <si>
    <t>固定成本</t>
  </si>
  <si>
    <t>可变成本</t>
  </si>
  <si>
    <t>经营成本</t>
  </si>
  <si>
    <t>绿色能源发电明细</t>
  </si>
  <si>
    <t>项目名称</t>
  </si>
  <si>
    <t>风电厂</t>
  </si>
  <si>
    <t>光伏电厂</t>
  </si>
  <si>
    <t>储能电站</t>
  </si>
  <si>
    <t>增量配电网</t>
  </si>
  <si>
    <t>合计</t>
  </si>
  <si>
    <t>容量</t>
  </si>
  <si>
    <t>MW</t>
  </si>
  <si>
    <t>/</t>
  </si>
  <si>
    <t>年发电市场</t>
  </si>
  <si>
    <t>h</t>
  </si>
  <si>
    <t>总发电量</t>
  </si>
  <si>
    <t>万KW.h</t>
  </si>
  <si>
    <t>工程静态总投资</t>
  </si>
  <si>
    <t>工程动态投资</t>
  </si>
  <si>
    <t>单位千瓦时静态投资</t>
  </si>
  <si>
    <t>元/W</t>
  </si>
  <si>
    <t>单位千瓦时动态投资</t>
  </si>
  <si>
    <t>综合效益分析表</t>
  </si>
  <si>
    <t>备注</t>
  </si>
  <si>
    <t>负荷</t>
  </si>
  <si>
    <t>风能</t>
  </si>
  <si>
    <t>电网购买电量</t>
  </si>
  <si>
    <t>20%/年递增</t>
  </si>
  <si>
    <t>售电总量</t>
  </si>
  <si>
    <t>销售税</t>
  </si>
  <si>
    <t>净利润</t>
  </si>
  <si>
    <t>本项目总投资</t>
  </si>
  <si>
    <t>财务内部收益率IRR</t>
  </si>
  <si>
    <t>财务净现值（i=10%）</t>
  </si>
</sst>
</file>

<file path=xl/styles.xml><?xml version="1.0" encoding="utf-8"?>
<styleSheet xmlns="http://schemas.openxmlformats.org/spreadsheetml/2006/main">
  <numFmts count="8">
    <numFmt numFmtId="8" formatCode="&quot;￥&quot;#,##0.00;[Red]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0.0_ "/>
  </numFmts>
  <fonts count="4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theme="1"/>
      <name val="Times New Roman"/>
      <charset val="134"/>
    </font>
    <font>
      <sz val="9"/>
      <color theme="1"/>
      <name val="Times New Roman"/>
      <charset val="134"/>
    </font>
    <font>
      <sz val="9"/>
      <color theme="1"/>
      <name val="宋体"/>
      <charset val="134"/>
    </font>
    <font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b/>
      <sz val="9"/>
      <color theme="1"/>
      <name val="Times New Roman"/>
      <charset val="134"/>
    </font>
    <font>
      <sz val="10"/>
      <color theme="1"/>
      <name val="宋体"/>
      <charset val="134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b/>
      <sz val="10"/>
      <color theme="1"/>
      <name val="宋体"/>
      <charset val="134"/>
    </font>
    <font>
      <b/>
      <sz val="9"/>
      <color theme="1"/>
      <name val="宋体"/>
      <charset val="134"/>
    </font>
    <font>
      <sz val="10"/>
      <color rgb="FF000000"/>
      <name val="Times New Roman"/>
      <charset val="134"/>
    </font>
    <font>
      <b/>
      <sz val="14"/>
      <color theme="1"/>
      <name val="宋体"/>
      <charset val="134"/>
      <scheme val="minor"/>
    </font>
    <font>
      <b/>
      <sz val="10"/>
      <color rgb="FF000000"/>
      <name val="宋体"/>
      <charset val="134"/>
    </font>
    <font>
      <b/>
      <sz val="10"/>
      <color rgb="FF000000"/>
      <name val="宋体"/>
      <charset val="134"/>
      <scheme val="major"/>
    </font>
    <font>
      <sz val="10"/>
      <color rgb="FF000000"/>
      <name val="宋体"/>
      <charset val="134"/>
    </font>
    <font>
      <sz val="24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0"/>
      <color theme="1"/>
      <name val="Times New Roman"/>
      <charset val="134"/>
    </font>
    <font>
      <b/>
      <sz val="10"/>
      <color rgb="FF000000"/>
      <name val="Times New Roman"/>
      <charset val="134"/>
    </font>
    <font>
      <b/>
      <sz val="12"/>
      <color theme="1"/>
      <name val="仿宋"/>
      <charset val="134"/>
    </font>
    <font>
      <b/>
      <sz val="10"/>
      <color theme="1"/>
      <name val="宋体"/>
      <charset val="134"/>
      <scheme val="maj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7" borderId="17" applyNumberFormat="0" applyFont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32" fillId="11" borderId="20" applyNumberFormat="0" applyAlignment="0" applyProtection="0">
      <alignment vertical="center"/>
    </xf>
    <xf numFmtId="0" fontId="33" fillId="11" borderId="16" applyNumberFormat="0" applyAlignment="0" applyProtection="0">
      <alignment vertical="center"/>
    </xf>
    <xf numFmtId="0" fontId="34" fillId="12" borderId="21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77" fontId="0" fillId="0" borderId="5" xfId="0" applyNumberFormat="1" applyBorder="1" applyAlignment="1">
      <alignment horizontal="left" vertical="center"/>
    </xf>
    <xf numFmtId="177" fontId="0" fillId="0" borderId="6" xfId="0" applyNumberFormat="1" applyBorder="1" applyAlignment="1">
      <alignment horizontal="left" vertical="center"/>
    </xf>
    <xf numFmtId="10" fontId="0" fillId="0" borderId="5" xfId="0" applyNumberFormat="1" applyBorder="1" applyAlignment="1">
      <alignment horizontal="left" vertical="center"/>
    </xf>
    <xf numFmtId="10" fontId="0" fillId="0" borderId="6" xfId="0" applyNumberForma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77" fontId="0" fillId="0" borderId="7" xfId="0" applyNumberFormat="1" applyBorder="1" applyAlignment="1">
      <alignment horizontal="left" vertical="center"/>
    </xf>
    <xf numFmtId="10" fontId="0" fillId="0" borderId="7" xfId="0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center" wrapText="1"/>
    </xf>
    <xf numFmtId="177" fontId="8" fillId="0" borderId="11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177" fontId="4" fillId="0" borderId="11" xfId="0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justify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center" vertical="center" wrapText="1"/>
    </xf>
    <xf numFmtId="177" fontId="9" fillId="0" borderId="11" xfId="0" applyNumberFormat="1" applyFont="1" applyBorder="1" applyAlignment="1">
      <alignment horizontal="center" vertical="center" wrapText="1"/>
    </xf>
    <xf numFmtId="178" fontId="9" fillId="0" borderId="11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center" vertical="center" wrapText="1"/>
    </xf>
    <xf numFmtId="178" fontId="12" fillId="0" borderId="11" xfId="0" applyNumberFormat="1" applyFont="1" applyBorder="1" applyAlignment="1">
      <alignment horizontal="center" vertical="center" wrapText="1"/>
    </xf>
    <xf numFmtId="177" fontId="12" fillId="0" borderId="11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178" fontId="4" fillId="0" borderId="11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177" fontId="4" fillId="0" borderId="10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177" fontId="6" fillId="0" borderId="8" xfId="0" applyNumberFormat="1" applyFont="1" applyBorder="1" applyAlignment="1">
      <alignment horizontal="center" vertical="center" wrapText="1"/>
    </xf>
    <xf numFmtId="0" fontId="10" fillId="0" borderId="1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10" fontId="6" fillId="0" borderId="14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8" fontId="0" fillId="0" borderId="14" xfId="0" applyNumberFormat="1" applyBorder="1">
      <alignment vertical="center"/>
    </xf>
    <xf numFmtId="0" fontId="6" fillId="0" borderId="1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77" fontId="9" fillId="0" borderId="1" xfId="0" applyNumberFormat="1" applyFont="1" applyBorder="1" applyAlignment="1">
      <alignment horizontal="left" vertical="center" wrapText="1"/>
    </xf>
    <xf numFmtId="0" fontId="2" fillId="0" borderId="15" xfId="0" applyFont="1" applyBorder="1" applyAlignment="1">
      <alignment horizontal="justify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justify" wrapText="1"/>
    </xf>
    <xf numFmtId="177" fontId="9" fillId="0" borderId="1" xfId="0" applyNumberFormat="1" applyFont="1" applyBorder="1" applyAlignment="1">
      <alignment horizontal="right" vertical="center" wrapText="1"/>
    </xf>
    <xf numFmtId="177" fontId="11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43" fontId="0" fillId="0" borderId="0" xfId="0" applyNumberFormat="1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43" fontId="15" fillId="0" borderId="0" xfId="0" applyNumberFormat="1" applyFont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alignment vertical="center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177" fontId="14" fillId="0" borderId="1" xfId="0" applyNumberFormat="1" applyFont="1" applyBorder="1" applyAlignment="1" applyProtection="1">
      <alignment horizontal="center" vertical="center" wrapText="1"/>
      <protection locked="0"/>
    </xf>
    <xf numFmtId="177" fontId="15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tabSelected="1" workbookViewId="0">
      <selection activeCell="H7" sqref="H7"/>
    </sheetView>
  </sheetViews>
  <sheetFormatPr defaultColWidth="9" defaultRowHeight="14.4"/>
  <cols>
    <col min="1" max="1" width="9" style="95"/>
    <col min="2" max="2" width="17" style="96" customWidth="1"/>
    <col min="3" max="4" width="9" style="96"/>
    <col min="5" max="5" width="9" style="97"/>
    <col min="6" max="7" width="9" style="96"/>
    <col min="8" max="8" width="9.62962962962963" style="96"/>
    <col min="9" max="9" width="9.62962962962963" style="98"/>
    <col min="10" max="10" width="9" style="96"/>
    <col min="11" max="11" width="12.6296296296296" style="96"/>
    <col min="12" max="16384" width="9" style="96"/>
  </cols>
  <sheetData>
    <row r="1" ht="17.4" spans="1:16">
      <c r="A1" s="99" t="s">
        <v>0</v>
      </c>
      <c r="B1" s="99"/>
      <c r="C1" s="99"/>
      <c r="D1" s="99"/>
      <c r="E1" s="100"/>
      <c r="F1" s="99"/>
      <c r="G1" s="99"/>
      <c r="H1" s="99"/>
      <c r="I1" s="107"/>
      <c r="J1" s="108" t="s">
        <v>1</v>
      </c>
      <c r="K1" s="109"/>
      <c r="L1" s="109"/>
      <c r="M1" s="109"/>
      <c r="N1" s="109"/>
      <c r="O1" s="109"/>
      <c r="P1" s="109"/>
    </row>
    <row r="2" ht="24" spans="1:16">
      <c r="A2" s="101" t="s">
        <v>2</v>
      </c>
      <c r="B2" s="101" t="s">
        <v>3</v>
      </c>
      <c r="C2" s="101" t="s">
        <v>4</v>
      </c>
      <c r="D2" s="101" t="s">
        <v>5</v>
      </c>
      <c r="E2" s="101" t="s">
        <v>6</v>
      </c>
      <c r="F2" s="101" t="s">
        <v>7</v>
      </c>
      <c r="G2" s="102" t="s">
        <v>8</v>
      </c>
      <c r="H2" s="101" t="s">
        <v>9</v>
      </c>
      <c r="J2" s="109"/>
      <c r="K2" s="109"/>
      <c r="L2" s="109"/>
      <c r="M2" s="109"/>
      <c r="N2" s="109"/>
      <c r="O2" s="109"/>
      <c r="P2" s="109"/>
    </row>
    <row r="3" spans="1:16">
      <c r="A3" s="103">
        <v>1</v>
      </c>
      <c r="B3" s="103" t="s">
        <v>10</v>
      </c>
      <c r="C3" s="104"/>
      <c r="D3" s="104"/>
      <c r="E3" s="104"/>
      <c r="F3" s="103"/>
      <c r="G3" s="103">
        <f>G4+G8</f>
        <v>21050</v>
      </c>
      <c r="H3" s="103"/>
      <c r="J3" s="109"/>
      <c r="K3" s="109"/>
      <c r="L3" s="109"/>
      <c r="M3" s="109"/>
      <c r="N3" s="109"/>
      <c r="O3" s="109"/>
      <c r="P3" s="109"/>
    </row>
    <row r="4" spans="1:16">
      <c r="A4" s="103">
        <v>1.1</v>
      </c>
      <c r="B4" s="103" t="s">
        <v>11</v>
      </c>
      <c r="C4" s="103"/>
      <c r="D4" s="103"/>
      <c r="E4" s="103"/>
      <c r="F4" s="103"/>
      <c r="G4" s="103">
        <f>SUM(G5:G7)</f>
        <v>19200</v>
      </c>
      <c r="H4" s="103"/>
      <c r="J4" s="109"/>
      <c r="K4" s="109"/>
      <c r="L4" s="109"/>
      <c r="M4" s="109"/>
      <c r="N4" s="109"/>
      <c r="O4" s="109"/>
      <c r="P4" s="109"/>
    </row>
    <row r="5" spans="1:16">
      <c r="A5" s="103" t="s">
        <v>12</v>
      </c>
      <c r="B5" s="103" t="s">
        <v>13</v>
      </c>
      <c r="C5" s="103"/>
      <c r="D5" s="103"/>
      <c r="E5" s="103"/>
      <c r="F5" s="103">
        <v>1000</v>
      </c>
      <c r="G5" s="103">
        <f>F5</f>
        <v>1000</v>
      </c>
      <c r="H5" s="103"/>
      <c r="J5" s="109"/>
      <c r="K5" s="109"/>
      <c r="L5" s="109"/>
      <c r="M5" s="109"/>
      <c r="N5" s="109"/>
      <c r="O5" s="109"/>
      <c r="P5" s="109"/>
    </row>
    <row r="6" ht="49.2" spans="1:8">
      <c r="A6" s="103" t="s">
        <v>14</v>
      </c>
      <c r="B6" s="103" t="s">
        <v>15</v>
      </c>
      <c r="C6" s="103" t="s">
        <v>16</v>
      </c>
      <c r="D6" s="103" t="s">
        <v>17</v>
      </c>
      <c r="E6" s="103" t="s">
        <v>18</v>
      </c>
      <c r="F6" s="103">
        <v>13000</v>
      </c>
      <c r="G6" s="103">
        <f>F6</f>
        <v>13000</v>
      </c>
      <c r="H6" s="103" t="s">
        <v>19</v>
      </c>
    </row>
    <row r="7" ht="62.4" spans="1:8">
      <c r="A7" s="103" t="s">
        <v>20</v>
      </c>
      <c r="B7" s="103" t="s">
        <v>21</v>
      </c>
      <c r="C7" s="103" t="s">
        <v>22</v>
      </c>
      <c r="D7" s="103" t="s">
        <v>23</v>
      </c>
      <c r="E7" s="103" t="s">
        <v>24</v>
      </c>
      <c r="F7" s="103">
        <v>200</v>
      </c>
      <c r="G7" s="103">
        <v>5200</v>
      </c>
      <c r="H7" s="105" t="s">
        <v>25</v>
      </c>
    </row>
    <row r="8" spans="1:8">
      <c r="A8" s="103">
        <v>1.2</v>
      </c>
      <c r="B8" s="103" t="s">
        <v>26</v>
      </c>
      <c r="C8" s="103"/>
      <c r="D8" s="103"/>
      <c r="E8" s="103"/>
      <c r="F8" s="103"/>
      <c r="G8" s="106">
        <f>SUM(G9:G17)</f>
        <v>1850</v>
      </c>
      <c r="H8" s="103"/>
    </row>
    <row r="9" spans="1:8">
      <c r="A9" s="103" t="s">
        <v>27</v>
      </c>
      <c r="B9" s="103" t="s">
        <v>28</v>
      </c>
      <c r="C9" s="103"/>
      <c r="D9" s="103"/>
      <c r="E9" s="103"/>
      <c r="F9" s="103"/>
      <c r="G9" s="103">
        <f t="shared" ref="G9:G14" si="0">14200*I9/100</f>
        <v>0</v>
      </c>
      <c r="H9" s="104"/>
    </row>
    <row r="10" spans="1:8">
      <c r="A10" s="103" t="s">
        <v>29</v>
      </c>
      <c r="B10" s="103" t="s">
        <v>30</v>
      </c>
      <c r="C10" s="103"/>
      <c r="D10" s="103"/>
      <c r="E10" s="103"/>
      <c r="F10" s="103"/>
      <c r="G10" s="103">
        <f t="shared" si="0"/>
        <v>0</v>
      </c>
      <c r="H10" s="103"/>
    </row>
    <row r="11" spans="1:8">
      <c r="A11" s="103" t="s">
        <v>31</v>
      </c>
      <c r="B11" s="103" t="s">
        <v>32</v>
      </c>
      <c r="C11" s="103"/>
      <c r="D11" s="103"/>
      <c r="E11" s="103"/>
      <c r="F11" s="103"/>
      <c r="G11" s="103">
        <f t="shared" si="0"/>
        <v>0</v>
      </c>
      <c r="H11" s="103"/>
    </row>
    <row r="12" spans="1:8">
      <c r="A12" s="103" t="s">
        <v>33</v>
      </c>
      <c r="B12" s="103" t="s">
        <v>34</v>
      </c>
      <c r="C12" s="103"/>
      <c r="D12" s="103"/>
      <c r="E12" s="103"/>
      <c r="F12" s="103"/>
      <c r="G12" s="103">
        <f t="shared" si="0"/>
        <v>0</v>
      </c>
      <c r="H12" s="103"/>
    </row>
    <row r="13" spans="1:8">
      <c r="A13" s="103" t="s">
        <v>35</v>
      </c>
      <c r="B13" s="103" t="s">
        <v>36</v>
      </c>
      <c r="C13" s="103"/>
      <c r="D13" s="103"/>
      <c r="E13" s="103"/>
      <c r="F13" s="103"/>
      <c r="G13" s="103">
        <f t="shared" si="0"/>
        <v>0</v>
      </c>
      <c r="H13" s="103"/>
    </row>
    <row r="14" ht="24" spans="1:8">
      <c r="A14" s="103" t="s">
        <v>37</v>
      </c>
      <c r="B14" s="103" t="s">
        <v>38</v>
      </c>
      <c r="C14" s="103"/>
      <c r="D14" s="103"/>
      <c r="E14" s="103"/>
      <c r="F14" s="103"/>
      <c r="G14" s="103">
        <f t="shared" si="0"/>
        <v>0</v>
      </c>
      <c r="H14" s="103"/>
    </row>
    <row r="15" spans="1:8">
      <c r="A15" s="103" t="s">
        <v>39</v>
      </c>
      <c r="B15" s="103" t="s">
        <v>40</v>
      </c>
      <c r="C15" s="103"/>
      <c r="D15" s="103"/>
      <c r="E15" s="103"/>
      <c r="F15" s="103"/>
      <c r="G15" s="103">
        <v>1800</v>
      </c>
      <c r="H15" s="103"/>
    </row>
    <row r="16" spans="1:8">
      <c r="A16" s="103" t="s">
        <v>41</v>
      </c>
      <c r="B16" s="103" t="s">
        <v>42</v>
      </c>
      <c r="C16" s="103"/>
      <c r="D16" s="103"/>
      <c r="E16" s="103"/>
      <c r="F16" s="103"/>
      <c r="G16" s="103">
        <v>30</v>
      </c>
      <c r="H16" s="103"/>
    </row>
    <row r="17" spans="1:8">
      <c r="A17" s="103" t="s">
        <v>43</v>
      </c>
      <c r="B17" s="103" t="s">
        <v>44</v>
      </c>
      <c r="C17" s="103"/>
      <c r="D17" s="103"/>
      <c r="E17" s="103"/>
      <c r="F17" s="103"/>
      <c r="G17" s="103">
        <v>20</v>
      </c>
      <c r="H17" s="103"/>
    </row>
    <row r="18" spans="1:8">
      <c r="A18" s="103">
        <v>2</v>
      </c>
      <c r="B18" s="103" t="s">
        <v>45</v>
      </c>
      <c r="C18" s="103"/>
      <c r="D18" s="103"/>
      <c r="E18" s="103"/>
      <c r="F18" s="103"/>
      <c r="G18" s="106">
        <f>G3*0.05</f>
        <v>1052.5</v>
      </c>
      <c r="H18" s="103"/>
    </row>
    <row r="19" ht="25.2" spans="1:8">
      <c r="A19" s="103">
        <v>3</v>
      </c>
      <c r="B19" s="103" t="s">
        <v>46</v>
      </c>
      <c r="C19" s="103"/>
      <c r="D19" s="103"/>
      <c r="E19" s="103"/>
      <c r="F19" s="103"/>
      <c r="G19" s="106">
        <f>G3+G18</f>
        <v>22102.5</v>
      </c>
      <c r="H19" s="103" t="s">
        <v>47</v>
      </c>
    </row>
    <row r="20" spans="1:8">
      <c r="A20" s="103">
        <v>4</v>
      </c>
      <c r="B20" s="103" t="s">
        <v>48</v>
      </c>
      <c r="C20" s="103"/>
      <c r="D20" s="103"/>
      <c r="E20" s="103"/>
      <c r="F20" s="103"/>
      <c r="G20" s="103">
        <v>2160</v>
      </c>
      <c r="H20" s="103"/>
    </row>
    <row r="21" spans="1:8">
      <c r="A21" s="103">
        <v>5</v>
      </c>
      <c r="B21" s="103" t="s">
        <v>49</v>
      </c>
      <c r="C21" s="103"/>
      <c r="D21" s="103"/>
      <c r="E21" s="103"/>
      <c r="F21" s="103"/>
      <c r="G21" s="106">
        <f>G20+G19</f>
        <v>24262.5</v>
      </c>
      <c r="H21" s="103"/>
    </row>
  </sheetData>
  <sheetProtection password="92EC" sheet="1" objects="1"/>
  <mergeCells count="2">
    <mergeCell ref="A1:I1"/>
    <mergeCell ref="J1:P5"/>
  </mergeCells>
  <pageMargins left="0.432638888888889" right="0.471527777777778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31"/>
  <sheetViews>
    <sheetView workbookViewId="0">
      <selection activeCell="J22" sqref="J22"/>
    </sheetView>
  </sheetViews>
  <sheetFormatPr defaultColWidth="9" defaultRowHeight="14.4"/>
  <cols>
    <col min="2" max="2" width="10.7777777777778"/>
    <col min="3" max="3" width="11.5"/>
    <col min="5" max="5" width="9.66666666666667"/>
    <col min="6" max="6" width="10.8888888888889" customWidth="1"/>
    <col min="7" max="7" width="12.3333333333333" customWidth="1"/>
    <col min="8" max="8" width="10.5555555555556" customWidth="1"/>
    <col min="9" max="14" width="10.7777777777778"/>
  </cols>
  <sheetData>
    <row r="1" ht="15.75" customHeight="1" spans="1:14">
      <c r="A1" s="91" t="s">
        <v>50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>
      <c r="A2" s="68" t="s">
        <v>3</v>
      </c>
      <c r="B2" s="68" t="s">
        <v>51</v>
      </c>
      <c r="C2" s="68" t="s">
        <v>52</v>
      </c>
      <c r="D2" s="68" t="s">
        <v>53</v>
      </c>
      <c r="E2" s="69">
        <v>1</v>
      </c>
      <c r="F2" s="69">
        <v>2</v>
      </c>
      <c r="G2" s="69">
        <v>3</v>
      </c>
      <c r="H2" s="69">
        <v>4</v>
      </c>
      <c r="I2" s="69">
        <v>5</v>
      </c>
      <c r="J2" s="69">
        <v>6</v>
      </c>
      <c r="K2" s="69">
        <v>7</v>
      </c>
      <c r="L2" s="69">
        <v>8</v>
      </c>
      <c r="M2" s="69">
        <v>9</v>
      </c>
      <c r="N2" s="69">
        <v>10</v>
      </c>
    </row>
    <row r="3" ht="24" spans="1:14">
      <c r="A3" s="68" t="s">
        <v>54</v>
      </c>
      <c r="B3" s="72"/>
      <c r="C3" s="72"/>
      <c r="D3" s="72"/>
      <c r="E3" s="72"/>
      <c r="F3" s="4"/>
      <c r="G3" s="92">
        <f>G6+G10+E14</f>
        <v>829.131205673759</v>
      </c>
      <c r="H3" s="92">
        <f t="shared" ref="H3:O3" si="0">H6+H10+F14</f>
        <v>829.131205673759</v>
      </c>
      <c r="I3" s="92">
        <f t="shared" si="0"/>
        <v>829.131205673759</v>
      </c>
      <c r="J3" s="92">
        <f t="shared" si="0"/>
        <v>829.131205673759</v>
      </c>
      <c r="K3" s="92">
        <f t="shared" si="0"/>
        <v>829.131205673759</v>
      </c>
      <c r="L3" s="92">
        <f t="shared" si="0"/>
        <v>829.131205673759</v>
      </c>
      <c r="M3" s="92">
        <f t="shared" si="0"/>
        <v>829.131205673759</v>
      </c>
      <c r="N3" s="92">
        <f t="shared" si="0"/>
        <v>829.131205673759</v>
      </c>
    </row>
    <row r="4" ht="24" spans="1:14">
      <c r="A4" s="68" t="s">
        <v>55</v>
      </c>
      <c r="B4" s="93"/>
      <c r="C4" s="92">
        <v>0.05</v>
      </c>
      <c r="D4" s="92">
        <v>20</v>
      </c>
      <c r="E4" s="93"/>
      <c r="F4" s="4"/>
      <c r="G4" s="93"/>
      <c r="H4" s="93"/>
      <c r="I4" s="93"/>
      <c r="J4" s="93"/>
      <c r="K4" s="93"/>
      <c r="L4" s="93"/>
      <c r="M4" s="93"/>
      <c r="N4" s="93"/>
    </row>
    <row r="5" spans="1:14">
      <c r="A5" s="68" t="s">
        <v>56</v>
      </c>
      <c r="B5" s="92">
        <f>投资估算表!G6</f>
        <v>13000</v>
      </c>
      <c r="C5" s="72"/>
      <c r="D5" s="72"/>
      <c r="E5" s="72"/>
      <c r="F5" s="4"/>
      <c r="G5" s="92">
        <f>B5</f>
        <v>13000</v>
      </c>
      <c r="H5" s="92">
        <f>G5-G6</f>
        <v>12382.5</v>
      </c>
      <c r="I5" s="92">
        <f>H5-H6</f>
        <v>11765</v>
      </c>
      <c r="J5" s="92">
        <f t="shared" ref="I5:O5" si="1">I5-I6</f>
        <v>11147.5</v>
      </c>
      <c r="K5" s="92">
        <f t="shared" si="1"/>
        <v>10530</v>
      </c>
      <c r="L5" s="92">
        <f t="shared" si="1"/>
        <v>9912.5</v>
      </c>
      <c r="M5" s="92">
        <f t="shared" si="1"/>
        <v>9295</v>
      </c>
      <c r="N5" s="92">
        <f t="shared" si="1"/>
        <v>8677.5</v>
      </c>
    </row>
    <row r="6" spans="1:14">
      <c r="A6" s="68" t="s">
        <v>57</v>
      </c>
      <c r="B6" s="92">
        <f>B5*(1-C4)</f>
        <v>12350</v>
      </c>
      <c r="C6" s="72"/>
      <c r="D6" s="72"/>
      <c r="E6" s="72"/>
      <c r="F6" s="4"/>
      <c r="G6" s="92">
        <f>$B$6/$D$4</f>
        <v>617.5</v>
      </c>
      <c r="H6" s="92">
        <f t="shared" ref="H6:O6" si="2">$B$6/$D$4</f>
        <v>617.5</v>
      </c>
      <c r="I6" s="92">
        <f t="shared" si="2"/>
        <v>617.5</v>
      </c>
      <c r="J6" s="92">
        <f t="shared" si="2"/>
        <v>617.5</v>
      </c>
      <c r="K6" s="92">
        <f t="shared" si="2"/>
        <v>617.5</v>
      </c>
      <c r="L6" s="92">
        <f t="shared" si="2"/>
        <v>617.5</v>
      </c>
      <c r="M6" s="92">
        <f t="shared" si="2"/>
        <v>617.5</v>
      </c>
      <c r="N6" s="92">
        <f t="shared" si="2"/>
        <v>617.5</v>
      </c>
    </row>
    <row r="7" spans="1:14">
      <c r="A7" s="68" t="s">
        <v>58</v>
      </c>
      <c r="B7" s="92">
        <f>B5-B6</f>
        <v>650</v>
      </c>
      <c r="C7" s="72"/>
      <c r="D7" s="72"/>
      <c r="E7" s="72"/>
      <c r="F7" s="4"/>
      <c r="G7" s="92">
        <f>G5-G6</f>
        <v>12382.5</v>
      </c>
      <c r="H7" s="92">
        <f t="shared" ref="H7:O7" si="3">H5-H6</f>
        <v>11765</v>
      </c>
      <c r="I7" s="92">
        <f t="shared" si="3"/>
        <v>11147.5</v>
      </c>
      <c r="J7" s="92">
        <f t="shared" si="3"/>
        <v>10530</v>
      </c>
      <c r="K7" s="92">
        <f t="shared" si="3"/>
        <v>9912.5</v>
      </c>
      <c r="L7" s="92">
        <f t="shared" si="3"/>
        <v>9295</v>
      </c>
      <c r="M7" s="92">
        <f t="shared" si="3"/>
        <v>8677.5</v>
      </c>
      <c r="N7" s="92">
        <f t="shared" si="3"/>
        <v>8060</v>
      </c>
    </row>
    <row r="8" spans="1:14">
      <c r="A8" s="68" t="s">
        <v>59</v>
      </c>
      <c r="B8" s="92"/>
      <c r="C8" s="92">
        <v>0.1</v>
      </c>
      <c r="D8" s="92">
        <v>30</v>
      </c>
      <c r="E8" s="72"/>
      <c r="F8" s="4"/>
      <c r="G8" s="92"/>
      <c r="H8" s="92"/>
      <c r="I8" s="92"/>
      <c r="J8" s="92"/>
      <c r="K8" s="92"/>
      <c r="L8" s="92"/>
      <c r="M8" s="92"/>
      <c r="N8" s="92"/>
    </row>
    <row r="9" spans="1:14">
      <c r="A9" s="68" t="s">
        <v>56</v>
      </c>
      <c r="B9" s="92">
        <f>投资估算表!G7</f>
        <v>5200</v>
      </c>
      <c r="C9" s="72"/>
      <c r="D9" s="72"/>
      <c r="E9" s="72"/>
      <c r="F9" s="4"/>
      <c r="G9" s="92">
        <f>B9</f>
        <v>5200</v>
      </c>
      <c r="H9" s="92">
        <f>G9-G10</f>
        <v>5026.66666666667</v>
      </c>
      <c r="I9" s="92">
        <f t="shared" ref="I9:O9" si="4">H9-H10</f>
        <v>4853.33333333333</v>
      </c>
      <c r="J9" s="92">
        <f t="shared" si="4"/>
        <v>4680</v>
      </c>
      <c r="K9" s="92">
        <f t="shared" si="4"/>
        <v>4506.66666666667</v>
      </c>
      <c r="L9" s="92">
        <f t="shared" si="4"/>
        <v>4333.33333333333</v>
      </c>
      <c r="M9" s="92">
        <f t="shared" si="4"/>
        <v>4160</v>
      </c>
      <c r="N9" s="92">
        <f t="shared" si="4"/>
        <v>3986.66666666667</v>
      </c>
    </row>
    <row r="10" spans="1:14">
      <c r="A10" s="68" t="s">
        <v>57</v>
      </c>
      <c r="B10" s="92">
        <f>B9*(1-C8)</f>
        <v>4680</v>
      </c>
      <c r="C10" s="72"/>
      <c r="D10" s="72"/>
      <c r="E10" s="72"/>
      <c r="F10" s="4"/>
      <c r="G10" s="92">
        <f>$G$9/$D$8</f>
        <v>173.333333333333</v>
      </c>
      <c r="H10" s="92">
        <f t="shared" ref="H10:O10" si="5">$G$9/$D$8</f>
        <v>173.333333333333</v>
      </c>
      <c r="I10" s="92">
        <f t="shared" si="5"/>
        <v>173.333333333333</v>
      </c>
      <c r="J10" s="92">
        <f t="shared" si="5"/>
        <v>173.333333333333</v>
      </c>
      <c r="K10" s="92">
        <f t="shared" si="5"/>
        <v>173.333333333333</v>
      </c>
      <c r="L10" s="92">
        <f t="shared" si="5"/>
        <v>173.333333333333</v>
      </c>
      <c r="M10" s="92">
        <f t="shared" si="5"/>
        <v>173.333333333333</v>
      </c>
      <c r="N10" s="92">
        <f t="shared" si="5"/>
        <v>173.333333333333</v>
      </c>
    </row>
    <row r="11" spans="1:14">
      <c r="A11" s="68" t="s">
        <v>58</v>
      </c>
      <c r="B11" s="92">
        <f>B9-B10</f>
        <v>520</v>
      </c>
      <c r="C11" s="72"/>
      <c r="D11" s="72"/>
      <c r="E11" s="72"/>
      <c r="F11" s="4"/>
      <c r="G11" s="92">
        <f>G9-G10</f>
        <v>5026.66666666667</v>
      </c>
      <c r="H11" s="92">
        <f t="shared" ref="H11:O11" si="6">H9-H10</f>
        <v>4853.33333333333</v>
      </c>
      <c r="I11" s="92">
        <f t="shared" si="6"/>
        <v>4680</v>
      </c>
      <c r="J11" s="92">
        <f t="shared" si="6"/>
        <v>4506.66666666667</v>
      </c>
      <c r="K11" s="92">
        <f t="shared" si="6"/>
        <v>4333.33333333333</v>
      </c>
      <c r="L11" s="92">
        <f t="shared" si="6"/>
        <v>4160</v>
      </c>
      <c r="M11" s="92">
        <f t="shared" si="6"/>
        <v>3986.66666666667</v>
      </c>
      <c r="N11" s="92">
        <f t="shared" si="6"/>
        <v>3813.33333333333</v>
      </c>
    </row>
    <row r="12" ht="15.6" spans="1:14">
      <c r="A12" s="68" t="s">
        <v>60</v>
      </c>
      <c r="C12" s="72"/>
      <c r="D12" s="92">
        <v>47</v>
      </c>
      <c r="E12" s="72"/>
      <c r="F12" s="4"/>
      <c r="G12" s="93"/>
      <c r="H12" s="72"/>
      <c r="I12" s="72"/>
      <c r="J12" s="72"/>
      <c r="K12" s="72"/>
      <c r="L12" s="72"/>
      <c r="M12" s="72"/>
      <c r="N12" s="72"/>
    </row>
    <row r="13" spans="1:14">
      <c r="A13" s="68" t="s">
        <v>56</v>
      </c>
      <c r="B13" s="92">
        <f>投资估算表!G15</f>
        <v>1800</v>
      </c>
      <c r="C13" s="72"/>
      <c r="D13" s="72"/>
      <c r="E13" s="92">
        <f>B13</f>
        <v>1800</v>
      </c>
      <c r="F13" s="92">
        <f>E13-E14</f>
        <v>1761.70212765957</v>
      </c>
      <c r="G13" s="92">
        <f t="shared" ref="G13:N13" si="7">F13-F14</f>
        <v>1723.40425531915</v>
      </c>
      <c r="H13" s="92">
        <f t="shared" si="7"/>
        <v>1685.10638297872</v>
      </c>
      <c r="I13" s="92">
        <f t="shared" si="7"/>
        <v>1646.8085106383</v>
      </c>
      <c r="J13" s="92">
        <f t="shared" si="7"/>
        <v>1608.51063829787</v>
      </c>
      <c r="K13" s="92">
        <f t="shared" si="7"/>
        <v>1570.21276595745</v>
      </c>
      <c r="L13" s="92">
        <f t="shared" si="7"/>
        <v>1531.91489361702</v>
      </c>
      <c r="M13" s="92">
        <f t="shared" si="7"/>
        <v>1493.6170212766</v>
      </c>
      <c r="N13" s="92">
        <f t="shared" si="7"/>
        <v>1455.31914893617</v>
      </c>
    </row>
    <row r="14" spans="1:14">
      <c r="A14" s="68" t="s">
        <v>61</v>
      </c>
      <c r="B14" s="92">
        <f>B13</f>
        <v>1800</v>
      </c>
      <c r="C14" s="72"/>
      <c r="D14" s="72"/>
      <c r="E14" s="92">
        <f>$B$14/$D$12</f>
        <v>38.2978723404255</v>
      </c>
      <c r="F14" s="92">
        <f t="shared" ref="F14:N14" si="8">$B$14/$D$12</f>
        <v>38.2978723404255</v>
      </c>
      <c r="G14" s="92">
        <f t="shared" si="8"/>
        <v>38.2978723404255</v>
      </c>
      <c r="H14" s="92">
        <f t="shared" si="8"/>
        <v>38.2978723404255</v>
      </c>
      <c r="I14" s="92">
        <f t="shared" si="8"/>
        <v>38.2978723404255</v>
      </c>
      <c r="J14" s="92">
        <f t="shared" si="8"/>
        <v>38.2978723404255</v>
      </c>
      <c r="K14" s="92">
        <f t="shared" si="8"/>
        <v>38.2978723404255</v>
      </c>
      <c r="L14" s="92">
        <f t="shared" si="8"/>
        <v>38.2978723404255</v>
      </c>
      <c r="M14" s="92">
        <f t="shared" si="8"/>
        <v>38.2978723404255</v>
      </c>
      <c r="N14" s="92">
        <f t="shared" si="8"/>
        <v>38.2978723404255</v>
      </c>
    </row>
    <row r="15" spans="1:14">
      <c r="A15" s="68" t="s">
        <v>58</v>
      </c>
      <c r="B15" s="92">
        <v>0</v>
      </c>
      <c r="C15" s="72"/>
      <c r="D15" s="72"/>
      <c r="E15" s="92">
        <f>E13-E14</f>
        <v>1761.70212765957</v>
      </c>
      <c r="F15" s="92">
        <f t="shared" ref="F15:N15" si="9">F13-F14</f>
        <v>1723.40425531915</v>
      </c>
      <c r="G15" s="92">
        <f t="shared" si="9"/>
        <v>1685.10638297872</v>
      </c>
      <c r="H15" s="92">
        <f t="shared" si="9"/>
        <v>1646.8085106383</v>
      </c>
      <c r="I15" s="92">
        <f t="shared" si="9"/>
        <v>1608.51063829787</v>
      </c>
      <c r="J15" s="92">
        <f t="shared" si="9"/>
        <v>1570.21276595745</v>
      </c>
      <c r="K15" s="92">
        <f t="shared" si="9"/>
        <v>1531.91489361702</v>
      </c>
      <c r="L15" s="92">
        <f t="shared" si="9"/>
        <v>1493.6170212766</v>
      </c>
      <c r="M15" s="92">
        <f t="shared" si="9"/>
        <v>1455.31914893617</v>
      </c>
      <c r="N15" s="92">
        <f t="shared" si="9"/>
        <v>1417.02127659574</v>
      </c>
    </row>
    <row r="17" spans="4:14"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</row>
    <row r="18" spans="4:14"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</row>
    <row r="19" spans="4:14"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</row>
    <row r="20" spans="4:14"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</row>
    <row r="21" spans="4:14"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</row>
    <row r="22" spans="4:14"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</row>
    <row r="23" spans="4:14"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</row>
    <row r="24" spans="4:14"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</row>
    <row r="25" spans="4:14"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</row>
    <row r="26" spans="4:14"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</row>
    <row r="27" spans="4:14"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</row>
    <row r="28" spans="4:14"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</row>
    <row r="29" spans="4:14"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</row>
    <row r="30" spans="4:14"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</row>
    <row r="31" spans="4:14"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</row>
  </sheetData>
  <mergeCells count="1">
    <mergeCell ref="A1:N1"/>
  </mergeCells>
  <pageMargins left="0.75" right="0.75" top="1" bottom="1" header="0.511805555555556" footer="0.511805555555556"/>
  <pageSetup paperSize="9" scale="96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29"/>
  <sheetViews>
    <sheetView workbookViewId="0">
      <selection activeCell="J22" sqref="J22"/>
    </sheetView>
  </sheetViews>
  <sheetFormatPr defaultColWidth="9" defaultRowHeight="14.4"/>
  <cols>
    <col min="2" max="2" width="11.8888888888889" customWidth="1"/>
    <col min="5" max="6" width="10.6666666666667"/>
    <col min="9" max="13" width="12.6296296296296"/>
    <col min="14" max="16" width="12.8888888888889"/>
  </cols>
  <sheetData>
    <row r="1" ht="15" customHeight="1" spans="1:16">
      <c r="A1" s="38" t="s">
        <v>62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</row>
    <row r="2" spans="1:16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ht="21.6" spans="1:16">
      <c r="A3" s="70" t="s">
        <v>2</v>
      </c>
      <c r="B3" s="70" t="s">
        <v>63</v>
      </c>
      <c r="C3" s="70" t="s">
        <v>64</v>
      </c>
      <c r="D3" s="70" t="s">
        <v>65</v>
      </c>
      <c r="E3" s="70" t="s">
        <v>66</v>
      </c>
      <c r="F3" s="70" t="s">
        <v>67</v>
      </c>
      <c r="G3" s="71">
        <v>1</v>
      </c>
      <c r="H3" s="71">
        <v>2</v>
      </c>
      <c r="I3" s="71">
        <v>3</v>
      </c>
      <c r="J3" s="71">
        <v>4</v>
      </c>
      <c r="K3" s="71">
        <v>5</v>
      </c>
      <c r="L3" s="71">
        <v>6</v>
      </c>
      <c r="M3" s="71">
        <v>7</v>
      </c>
      <c r="N3" s="71">
        <v>8</v>
      </c>
      <c r="O3" s="71">
        <v>9</v>
      </c>
      <c r="P3" s="71">
        <v>10</v>
      </c>
    </row>
    <row r="4" spans="1:16">
      <c r="A4" s="74">
        <v>1</v>
      </c>
      <c r="B4" s="75" t="s">
        <v>68</v>
      </c>
      <c r="C4" s="76"/>
      <c r="D4" s="76"/>
      <c r="E4" s="76">
        <f>E6+E13</f>
        <v>134000</v>
      </c>
      <c r="F4" s="76"/>
      <c r="G4" s="76"/>
      <c r="H4" s="76"/>
      <c r="I4" s="76">
        <f t="shared" ref="F4:P4" si="0">I7+I13</f>
        <v>47695.5</v>
      </c>
      <c r="J4" s="76">
        <f t="shared" si="0"/>
        <v>59027.25</v>
      </c>
      <c r="K4" s="76">
        <f t="shared" si="0"/>
        <v>72027.8</v>
      </c>
      <c r="L4" s="76">
        <f t="shared" si="0"/>
        <v>84043.16</v>
      </c>
      <c r="M4" s="76">
        <f t="shared" si="0"/>
        <v>98461.592</v>
      </c>
      <c r="N4" s="76">
        <f t="shared" si="0"/>
        <v>115763.7104</v>
      </c>
      <c r="O4" s="76">
        <f t="shared" si="0"/>
        <v>136526.25248</v>
      </c>
      <c r="P4" s="76">
        <f t="shared" si="0"/>
        <v>161441.302976</v>
      </c>
    </row>
    <row r="5" spans="1:16">
      <c r="A5" s="77"/>
      <c r="B5" s="75" t="s">
        <v>69</v>
      </c>
      <c r="C5" s="76"/>
      <c r="D5" s="76"/>
      <c r="E5" s="76"/>
      <c r="F5" s="76"/>
      <c r="G5" s="76"/>
      <c r="H5" s="76"/>
      <c r="I5" s="76">
        <f>I6+I14</f>
        <v>117000</v>
      </c>
      <c r="J5" s="76">
        <f t="shared" ref="J5:P5" si="1">J6+J14</f>
        <v>145500</v>
      </c>
      <c r="K5" s="76">
        <f t="shared" si="1"/>
        <v>178000</v>
      </c>
      <c r="L5" s="76">
        <f t="shared" si="1"/>
        <v>206800</v>
      </c>
      <c r="M5" s="76">
        <f t="shared" si="1"/>
        <v>241360</v>
      </c>
      <c r="N5" s="76">
        <f t="shared" si="1"/>
        <v>282832</v>
      </c>
      <c r="O5" s="76">
        <f t="shared" si="1"/>
        <v>332598.4</v>
      </c>
      <c r="P5" s="76">
        <f t="shared" si="1"/>
        <v>392318.08</v>
      </c>
    </row>
    <row r="6" ht="21.6" spans="1:16">
      <c r="A6" s="75">
        <v>1.1</v>
      </c>
      <c r="B6" s="78" t="s">
        <v>70</v>
      </c>
      <c r="C6" s="76"/>
      <c r="D6" s="76"/>
      <c r="E6" s="79">
        <f>SUM(E8:E10)</f>
        <v>34000</v>
      </c>
      <c r="F6" s="76"/>
      <c r="G6" s="76"/>
      <c r="H6" s="76"/>
      <c r="I6" s="76">
        <f>I8+I10</f>
        <v>17000</v>
      </c>
      <c r="J6" s="76">
        <f t="shared" ref="J6:P6" si="2">J8+J10</f>
        <v>25500</v>
      </c>
      <c r="K6" s="76">
        <f t="shared" si="2"/>
        <v>34000</v>
      </c>
      <c r="L6" s="76">
        <f t="shared" si="2"/>
        <v>34000</v>
      </c>
      <c r="M6" s="76">
        <f t="shared" si="2"/>
        <v>34000</v>
      </c>
      <c r="N6" s="76">
        <f t="shared" si="2"/>
        <v>34000</v>
      </c>
      <c r="O6" s="76">
        <f t="shared" si="2"/>
        <v>34000</v>
      </c>
      <c r="P6" s="76">
        <f t="shared" si="2"/>
        <v>34000</v>
      </c>
    </row>
    <row r="7" ht="24" spans="1:16">
      <c r="A7" s="75"/>
      <c r="B7" s="80" t="s">
        <v>71</v>
      </c>
      <c r="C7" s="4"/>
      <c r="D7" s="81"/>
      <c r="F7" s="79"/>
      <c r="G7" s="71"/>
      <c r="H7" s="71"/>
      <c r="I7" s="71">
        <f>I9+I11</f>
        <v>5975.5</v>
      </c>
      <c r="J7" s="71">
        <f t="shared" ref="J7:P7" si="3">J9+J11</f>
        <v>8963.25</v>
      </c>
      <c r="K7" s="71">
        <f t="shared" si="3"/>
        <v>11951</v>
      </c>
      <c r="L7" s="71">
        <f t="shared" si="3"/>
        <v>11951</v>
      </c>
      <c r="M7" s="71">
        <f t="shared" si="3"/>
        <v>11951</v>
      </c>
      <c r="N7" s="71">
        <f t="shared" si="3"/>
        <v>11951</v>
      </c>
      <c r="O7" s="71">
        <f t="shared" si="3"/>
        <v>11951</v>
      </c>
      <c r="P7" s="71">
        <f t="shared" si="3"/>
        <v>11951</v>
      </c>
    </row>
    <row r="8" spans="1:16">
      <c r="A8" s="75" t="s">
        <v>12</v>
      </c>
      <c r="B8" s="80" t="s">
        <v>72</v>
      </c>
      <c r="C8" s="4"/>
      <c r="D8" s="81"/>
      <c r="E8" s="79">
        <f>绿色能源发电明细!D5</f>
        <v>24000</v>
      </c>
      <c r="F8" s="79"/>
      <c r="G8" s="71"/>
      <c r="H8" s="71"/>
      <c r="I8" s="71">
        <f>$E$8*I12</f>
        <v>12000</v>
      </c>
      <c r="J8" s="71">
        <f t="shared" ref="J8:P8" si="4">$E$8*J12</f>
        <v>18000</v>
      </c>
      <c r="K8" s="71">
        <f t="shared" si="4"/>
        <v>24000</v>
      </c>
      <c r="L8" s="71">
        <f t="shared" si="4"/>
        <v>24000</v>
      </c>
      <c r="M8" s="71">
        <f t="shared" si="4"/>
        <v>24000</v>
      </c>
      <c r="N8" s="71">
        <f t="shared" si="4"/>
        <v>24000</v>
      </c>
      <c r="O8" s="71">
        <f t="shared" si="4"/>
        <v>24000</v>
      </c>
      <c r="P8" s="71">
        <f t="shared" si="4"/>
        <v>24000</v>
      </c>
    </row>
    <row r="9" spans="1:16">
      <c r="A9" s="75"/>
      <c r="B9" s="80" t="s">
        <v>73</v>
      </c>
      <c r="C9" s="82" t="s">
        <v>74</v>
      </c>
      <c r="D9" s="81">
        <v>0.3515</v>
      </c>
      <c r="F9" s="79"/>
      <c r="G9" s="71"/>
      <c r="H9" s="71"/>
      <c r="I9" s="71">
        <f>$E$8*$D$9*I12</f>
        <v>4218</v>
      </c>
      <c r="J9" s="71">
        <f t="shared" ref="J9:R9" si="5">$E$8*$D$9*J12</f>
        <v>6327</v>
      </c>
      <c r="K9" s="71">
        <f t="shared" si="5"/>
        <v>8436</v>
      </c>
      <c r="L9" s="71">
        <f t="shared" si="5"/>
        <v>8436</v>
      </c>
      <c r="M9" s="71">
        <f t="shared" si="5"/>
        <v>8436</v>
      </c>
      <c r="N9" s="71">
        <f t="shared" si="5"/>
        <v>8436</v>
      </c>
      <c r="O9" s="71">
        <f t="shared" si="5"/>
        <v>8436</v>
      </c>
      <c r="P9" s="71">
        <f t="shared" si="5"/>
        <v>8436</v>
      </c>
    </row>
    <row r="10" spans="1:16">
      <c r="A10" s="70" t="s">
        <v>14</v>
      </c>
      <c r="B10" s="80" t="s">
        <v>72</v>
      </c>
      <c r="C10" s="82"/>
      <c r="D10" s="81"/>
      <c r="E10" s="83">
        <f>绿色能源发电明细!E5</f>
        <v>10000</v>
      </c>
      <c r="F10" s="79"/>
      <c r="G10" s="71"/>
      <c r="H10" s="71"/>
      <c r="I10" s="71">
        <f>$E$10*I12</f>
        <v>5000</v>
      </c>
      <c r="J10" s="71">
        <f t="shared" ref="J10:P10" si="6">$E$10*J12</f>
        <v>7500</v>
      </c>
      <c r="K10" s="71">
        <f t="shared" si="6"/>
        <v>10000</v>
      </c>
      <c r="L10" s="71">
        <f t="shared" si="6"/>
        <v>10000</v>
      </c>
      <c r="M10" s="71">
        <f t="shared" si="6"/>
        <v>10000</v>
      </c>
      <c r="N10" s="71">
        <f t="shared" si="6"/>
        <v>10000</v>
      </c>
      <c r="O10" s="71">
        <f t="shared" si="6"/>
        <v>10000</v>
      </c>
      <c r="P10" s="71">
        <f t="shared" si="6"/>
        <v>10000</v>
      </c>
    </row>
    <row r="11" spans="1:16">
      <c r="A11" s="70"/>
      <c r="B11" s="80" t="s">
        <v>75</v>
      </c>
      <c r="C11" s="82" t="s">
        <v>74</v>
      </c>
      <c r="D11" s="81">
        <v>0.3515</v>
      </c>
      <c r="F11" s="83"/>
      <c r="G11" s="71"/>
      <c r="H11" s="71"/>
      <c r="I11" s="71">
        <f>$E$10*$D$11*I12</f>
        <v>1757.5</v>
      </c>
      <c r="J11" s="71">
        <f t="shared" ref="J11:R11" si="7">$E$10*$D$11*J12</f>
        <v>2636.25</v>
      </c>
      <c r="K11" s="71">
        <f t="shared" si="7"/>
        <v>3515</v>
      </c>
      <c r="L11" s="71">
        <f t="shared" si="7"/>
        <v>3515</v>
      </c>
      <c r="M11" s="71">
        <f t="shared" si="7"/>
        <v>3515</v>
      </c>
      <c r="N11" s="71">
        <f t="shared" si="7"/>
        <v>3515</v>
      </c>
      <c r="O11" s="71">
        <f t="shared" si="7"/>
        <v>3515</v>
      </c>
      <c r="P11" s="71">
        <f t="shared" si="7"/>
        <v>3515</v>
      </c>
    </row>
    <row r="12" spans="1:16">
      <c r="A12" s="70">
        <v>1.2</v>
      </c>
      <c r="B12" s="84" t="s">
        <v>76</v>
      </c>
      <c r="C12" s="71"/>
      <c r="D12" s="71"/>
      <c r="E12" s="71"/>
      <c r="F12" s="71"/>
      <c r="G12" s="85"/>
      <c r="H12" s="85"/>
      <c r="I12" s="85">
        <v>0.5</v>
      </c>
      <c r="J12" s="85">
        <v>0.75</v>
      </c>
      <c r="K12" s="85">
        <v>1</v>
      </c>
      <c r="L12" s="85">
        <v>1</v>
      </c>
      <c r="M12" s="85">
        <v>1</v>
      </c>
      <c r="N12" s="85">
        <v>1</v>
      </c>
      <c r="O12" s="85">
        <v>1</v>
      </c>
      <c r="P12" s="85">
        <v>1</v>
      </c>
    </row>
    <row r="13" spans="1:16">
      <c r="A13" s="75">
        <v>1.3</v>
      </c>
      <c r="B13" s="80" t="s">
        <v>77</v>
      </c>
      <c r="C13" s="82"/>
      <c r="D13" s="81"/>
      <c r="E13" s="83">
        <f>E14</f>
        <v>100000</v>
      </c>
      <c r="F13" s="86">
        <v>0.2</v>
      </c>
      <c r="G13" s="71"/>
      <c r="H13" s="71"/>
      <c r="I13" s="71">
        <f>SUM(I15)</f>
        <v>41720</v>
      </c>
      <c r="J13" s="71">
        <f t="shared" ref="J13:R13" si="8">SUM(J15)</f>
        <v>50064</v>
      </c>
      <c r="K13" s="71">
        <f t="shared" si="8"/>
        <v>60076.8</v>
      </c>
      <c r="L13" s="71">
        <f t="shared" si="8"/>
        <v>72092.16</v>
      </c>
      <c r="M13" s="71">
        <f t="shared" si="8"/>
        <v>86510.592</v>
      </c>
      <c r="N13" s="71">
        <f t="shared" si="8"/>
        <v>103812.7104</v>
      </c>
      <c r="O13" s="71">
        <f t="shared" si="8"/>
        <v>124575.25248</v>
      </c>
      <c r="P13" s="71">
        <f t="shared" si="8"/>
        <v>149490.302976</v>
      </c>
    </row>
    <row r="14" spans="1:16">
      <c r="A14" s="75" t="s">
        <v>78</v>
      </c>
      <c r="B14" s="82" t="s">
        <v>72</v>
      </c>
      <c r="C14" s="82"/>
      <c r="D14" s="81"/>
      <c r="E14" s="83">
        <v>100000</v>
      </c>
      <c r="F14" s="86"/>
      <c r="G14" s="71"/>
      <c r="H14" s="71"/>
      <c r="I14" s="71">
        <f>E14</f>
        <v>100000</v>
      </c>
      <c r="J14" s="71">
        <f>I14*1.2</f>
        <v>120000</v>
      </c>
      <c r="K14" s="71">
        <f t="shared" ref="K14:P14" si="9">J14*1.2</f>
        <v>144000</v>
      </c>
      <c r="L14" s="71">
        <f t="shared" si="9"/>
        <v>172800</v>
      </c>
      <c r="M14" s="71">
        <f t="shared" si="9"/>
        <v>207360</v>
      </c>
      <c r="N14" s="71">
        <f t="shared" si="9"/>
        <v>248832</v>
      </c>
      <c r="O14" s="71">
        <f t="shared" si="9"/>
        <v>298598.4</v>
      </c>
      <c r="P14" s="71">
        <f t="shared" si="9"/>
        <v>358318.08</v>
      </c>
    </row>
    <row r="15" spans="1:16">
      <c r="A15" s="75" t="s">
        <v>79</v>
      </c>
      <c r="B15" s="82" t="s">
        <v>80</v>
      </c>
      <c r="C15" s="82" t="s">
        <v>74</v>
      </c>
      <c r="D15" s="81">
        <f>0.3515+0.0657</f>
        <v>0.4172</v>
      </c>
      <c r="F15" s="81"/>
      <c r="G15" s="71"/>
      <c r="H15" s="71"/>
      <c r="I15" s="71">
        <f>D15*E14</f>
        <v>41720</v>
      </c>
      <c r="J15" s="71">
        <f>I15*1.2</f>
        <v>50064</v>
      </c>
      <c r="K15" s="71">
        <f t="shared" ref="K15:R15" si="10">J15*1.2</f>
        <v>60076.8</v>
      </c>
      <c r="L15" s="71">
        <f t="shared" si="10"/>
        <v>72092.16</v>
      </c>
      <c r="M15" s="71">
        <f t="shared" si="10"/>
        <v>86510.592</v>
      </c>
      <c r="N15" s="71">
        <f t="shared" si="10"/>
        <v>103812.7104</v>
      </c>
      <c r="O15" s="71">
        <f t="shared" si="10"/>
        <v>124575.25248</v>
      </c>
      <c r="P15" s="71">
        <f t="shared" si="10"/>
        <v>149490.302976</v>
      </c>
    </row>
    <row r="16" ht="24" spans="1:16">
      <c r="A16" s="75">
        <v>1.4</v>
      </c>
      <c r="B16" s="82" t="s">
        <v>81</v>
      </c>
      <c r="C16" s="82"/>
      <c r="D16" s="81"/>
      <c r="E16" s="81"/>
      <c r="F16" s="81"/>
      <c r="G16" s="71"/>
      <c r="H16" s="71"/>
      <c r="I16" s="71"/>
      <c r="J16" s="71"/>
      <c r="K16" s="71"/>
      <c r="L16" s="71"/>
      <c r="M16" s="71"/>
      <c r="N16" s="71"/>
      <c r="O16" s="71"/>
      <c r="P16" s="71"/>
    </row>
    <row r="17" spans="1:16">
      <c r="A17" s="75" t="s">
        <v>82</v>
      </c>
      <c r="B17" s="82" t="s">
        <v>83</v>
      </c>
      <c r="C17" s="87">
        <v>0.9</v>
      </c>
      <c r="D17" s="81"/>
      <c r="E17" s="9">
        <f>$E$4*C17</f>
        <v>120600</v>
      </c>
      <c r="F17" s="81"/>
      <c r="G17" s="71"/>
      <c r="H17" s="71"/>
      <c r="I17" s="71">
        <f>I4*$C$17</f>
        <v>42925.95</v>
      </c>
      <c r="J17" s="71">
        <f t="shared" ref="J17:P17" si="11">J4*$C$17</f>
        <v>53124.525</v>
      </c>
      <c r="K17" s="71">
        <f t="shared" si="11"/>
        <v>64825.02</v>
      </c>
      <c r="L17" s="71">
        <f t="shared" si="11"/>
        <v>75638.844</v>
      </c>
      <c r="M17" s="71">
        <f t="shared" si="11"/>
        <v>88615.4328</v>
      </c>
      <c r="N17" s="71">
        <f t="shared" si="11"/>
        <v>104187.33936</v>
      </c>
      <c r="O17" s="71">
        <f t="shared" si="11"/>
        <v>122873.627232</v>
      </c>
      <c r="P17" s="71">
        <f t="shared" si="11"/>
        <v>145297.1726784</v>
      </c>
    </row>
    <row r="18" spans="1:16">
      <c r="A18" s="75" t="s">
        <v>84</v>
      </c>
      <c r="B18" s="82" t="s">
        <v>85</v>
      </c>
      <c r="C18" s="87">
        <v>0.05</v>
      </c>
      <c r="D18" s="81"/>
      <c r="E18" s="9">
        <f>$E$4*C18</f>
        <v>6700</v>
      </c>
      <c r="F18" s="81"/>
      <c r="G18" s="71"/>
      <c r="H18" s="71"/>
      <c r="I18" s="71">
        <f>I4*$C$18</f>
        <v>2384.775</v>
      </c>
      <c r="J18" s="71">
        <f t="shared" ref="J18:P18" si="12">J4*$C$18</f>
        <v>2951.3625</v>
      </c>
      <c r="K18" s="71">
        <f t="shared" si="12"/>
        <v>3601.39</v>
      </c>
      <c r="L18" s="71">
        <f t="shared" si="12"/>
        <v>4202.158</v>
      </c>
      <c r="M18" s="71">
        <f t="shared" si="12"/>
        <v>4923.0796</v>
      </c>
      <c r="N18" s="71">
        <f t="shared" si="12"/>
        <v>5788.18552</v>
      </c>
      <c r="O18" s="71">
        <f t="shared" si="12"/>
        <v>6826.312624</v>
      </c>
      <c r="P18" s="71">
        <f t="shared" si="12"/>
        <v>8072.0651488</v>
      </c>
    </row>
    <row r="19" spans="1:16">
      <c r="A19" s="75" t="s">
        <v>86</v>
      </c>
      <c r="B19" s="82" t="s">
        <v>87</v>
      </c>
      <c r="C19" s="87">
        <v>0.03</v>
      </c>
      <c r="D19" s="81"/>
      <c r="E19" s="9">
        <f>$E$4*C19</f>
        <v>4020</v>
      </c>
      <c r="F19" s="81"/>
      <c r="G19" s="71"/>
      <c r="H19" s="71"/>
      <c r="I19" s="71">
        <f>I9*$C$19</f>
        <v>126.54</v>
      </c>
      <c r="J19" s="71">
        <f t="shared" ref="J19:P19" si="13">J9*$C$19</f>
        <v>189.81</v>
      </c>
      <c r="K19" s="71">
        <f t="shared" si="13"/>
        <v>253.08</v>
      </c>
      <c r="L19" s="71">
        <f t="shared" si="13"/>
        <v>253.08</v>
      </c>
      <c r="M19" s="71">
        <f t="shared" si="13"/>
        <v>253.08</v>
      </c>
      <c r="N19" s="71">
        <f t="shared" si="13"/>
        <v>253.08</v>
      </c>
      <c r="O19" s="71">
        <f t="shared" si="13"/>
        <v>253.08</v>
      </c>
      <c r="P19" s="71">
        <f t="shared" si="13"/>
        <v>253.08</v>
      </c>
    </row>
    <row r="20" spans="1:16">
      <c r="A20" s="75" t="s">
        <v>88</v>
      </c>
      <c r="B20" s="82" t="s">
        <v>89</v>
      </c>
      <c r="C20" s="87">
        <v>0.02</v>
      </c>
      <c r="D20" s="4"/>
      <c r="E20" s="9">
        <f>$E$4*C20</f>
        <v>2680</v>
      </c>
      <c r="F20" s="81"/>
      <c r="G20" s="71"/>
      <c r="H20" s="71"/>
      <c r="I20" s="71">
        <f>I11*$C$20</f>
        <v>35.15</v>
      </c>
      <c r="J20" s="71">
        <f t="shared" ref="J20:P20" si="14">J11*$C$20</f>
        <v>52.725</v>
      </c>
      <c r="K20" s="71">
        <f t="shared" si="14"/>
        <v>70.3</v>
      </c>
      <c r="L20" s="71">
        <f t="shared" si="14"/>
        <v>70.3</v>
      </c>
      <c r="M20" s="71">
        <f t="shared" si="14"/>
        <v>70.3</v>
      </c>
      <c r="N20" s="71">
        <f t="shared" si="14"/>
        <v>70.3</v>
      </c>
      <c r="O20" s="71">
        <f t="shared" si="14"/>
        <v>70.3</v>
      </c>
      <c r="P20" s="71">
        <f t="shared" si="14"/>
        <v>70.3</v>
      </c>
    </row>
    <row r="21" spans="1:16">
      <c r="A21" s="75">
        <v>1.5</v>
      </c>
      <c r="B21" s="82" t="s">
        <v>90</v>
      </c>
      <c r="C21" s="87"/>
      <c r="D21" s="4"/>
      <c r="E21" s="81"/>
      <c r="F21" s="81"/>
      <c r="G21" s="71"/>
      <c r="H21" s="71"/>
      <c r="I21" s="71"/>
      <c r="J21" s="71"/>
      <c r="K21" s="71"/>
      <c r="L21" s="71"/>
      <c r="M21" s="71"/>
      <c r="N21" s="71"/>
      <c r="O21" s="71"/>
      <c r="P21" s="71"/>
    </row>
    <row r="22" spans="1:16">
      <c r="A22" s="75" t="s">
        <v>91</v>
      </c>
      <c r="B22" s="82" t="s">
        <v>83</v>
      </c>
      <c r="C22" s="87">
        <v>0.02</v>
      </c>
      <c r="D22" s="4"/>
      <c r="E22" s="81">
        <f>E17*C22</f>
        <v>2412</v>
      </c>
      <c r="F22" s="81"/>
      <c r="G22" s="71"/>
      <c r="H22" s="71"/>
      <c r="I22" s="71">
        <f>I4*$C$17*$C$22</f>
        <v>858.519</v>
      </c>
      <c r="J22" s="71">
        <f t="shared" ref="J22:P22" si="15">J4*$C$17*$C$22</f>
        <v>1062.4905</v>
      </c>
      <c r="K22" s="71">
        <f t="shared" si="15"/>
        <v>1296.5004</v>
      </c>
      <c r="L22" s="71">
        <f t="shared" si="15"/>
        <v>1512.77688</v>
      </c>
      <c r="M22" s="71">
        <f t="shared" si="15"/>
        <v>1772.308656</v>
      </c>
      <c r="N22" s="71">
        <f t="shared" si="15"/>
        <v>2083.7467872</v>
      </c>
      <c r="O22" s="71">
        <f t="shared" si="15"/>
        <v>2457.47254464</v>
      </c>
      <c r="P22" s="71">
        <f t="shared" si="15"/>
        <v>2905.943453568</v>
      </c>
    </row>
    <row r="23" spans="1:16">
      <c r="A23" s="75" t="s">
        <v>92</v>
      </c>
      <c r="B23" s="82" t="s">
        <v>85</v>
      </c>
      <c r="C23" s="87">
        <v>0.04</v>
      </c>
      <c r="D23" s="4"/>
      <c r="E23" s="81">
        <f>E18*C23</f>
        <v>268</v>
      </c>
      <c r="F23" s="81"/>
      <c r="G23" s="71"/>
      <c r="H23" s="71"/>
      <c r="I23" s="71">
        <f>I7*$C$18*$C$23</f>
        <v>11.951</v>
      </c>
      <c r="J23" s="71">
        <f t="shared" ref="J23:P23" si="16">J7*$C$18*$C$23</f>
        <v>17.9265</v>
      </c>
      <c r="K23" s="71">
        <f t="shared" si="16"/>
        <v>23.902</v>
      </c>
      <c r="L23" s="71">
        <f t="shared" si="16"/>
        <v>23.902</v>
      </c>
      <c r="M23" s="71">
        <f t="shared" si="16"/>
        <v>23.902</v>
      </c>
      <c r="N23" s="71">
        <f t="shared" si="16"/>
        <v>23.902</v>
      </c>
      <c r="O23" s="71">
        <f t="shared" si="16"/>
        <v>23.902</v>
      </c>
      <c r="P23" s="71">
        <f t="shared" si="16"/>
        <v>23.902</v>
      </c>
    </row>
    <row r="24" spans="1:16">
      <c r="A24" s="75" t="s">
        <v>93</v>
      </c>
      <c r="B24" s="82" t="s">
        <v>87</v>
      </c>
      <c r="C24" s="87">
        <v>0.08</v>
      </c>
      <c r="D24" s="81"/>
      <c r="E24" s="81">
        <f>E19*C24</f>
        <v>321.6</v>
      </c>
      <c r="F24" s="81"/>
      <c r="G24" s="71"/>
      <c r="H24" s="71"/>
      <c r="I24" s="71">
        <f>I9*$C$19*$C$24</f>
        <v>10.1232</v>
      </c>
      <c r="J24" s="71">
        <f t="shared" ref="J24:P24" si="17">J9*$C$19*$C$24</f>
        <v>15.1848</v>
      </c>
      <c r="K24" s="71">
        <f t="shared" si="17"/>
        <v>20.2464</v>
      </c>
      <c r="L24" s="71">
        <f t="shared" si="17"/>
        <v>20.2464</v>
      </c>
      <c r="M24" s="71">
        <f t="shared" si="17"/>
        <v>20.2464</v>
      </c>
      <c r="N24" s="71">
        <f t="shared" si="17"/>
        <v>20.2464</v>
      </c>
      <c r="O24" s="71">
        <f t="shared" si="17"/>
        <v>20.2464</v>
      </c>
      <c r="P24" s="71">
        <f t="shared" si="17"/>
        <v>20.2464</v>
      </c>
    </row>
    <row r="25" spans="1:16">
      <c r="A25" s="75" t="s">
        <v>94</v>
      </c>
      <c r="B25" s="82" t="s">
        <v>89</v>
      </c>
      <c r="C25" s="87">
        <v>0.08</v>
      </c>
      <c r="D25" s="81"/>
      <c r="E25" s="81">
        <f>E20*C25</f>
        <v>214.4</v>
      </c>
      <c r="F25" s="81"/>
      <c r="G25" s="71"/>
      <c r="H25" s="71"/>
      <c r="I25" s="71">
        <f>I11*$C$20*$C$25</f>
        <v>2.812</v>
      </c>
      <c r="J25" s="71">
        <f t="shared" ref="J25:P25" si="18">J11*$C$20*$C$25</f>
        <v>4.218</v>
      </c>
      <c r="K25" s="71">
        <f t="shared" si="18"/>
        <v>5.624</v>
      </c>
      <c r="L25" s="71">
        <f t="shared" si="18"/>
        <v>5.624</v>
      </c>
      <c r="M25" s="71">
        <f t="shared" si="18"/>
        <v>5.624</v>
      </c>
      <c r="N25" s="71">
        <f t="shared" si="18"/>
        <v>5.624</v>
      </c>
      <c r="O25" s="71">
        <f t="shared" si="18"/>
        <v>5.624</v>
      </c>
      <c r="P25" s="71">
        <f t="shared" si="18"/>
        <v>5.624</v>
      </c>
    </row>
    <row r="26" spans="1:16">
      <c r="A26" s="88">
        <v>2</v>
      </c>
      <c r="B26" s="89" t="s">
        <v>95</v>
      </c>
      <c r="C26" s="76"/>
      <c r="D26" s="76"/>
      <c r="E26" s="76"/>
      <c r="F26" s="76"/>
      <c r="G26" s="71"/>
      <c r="H26" s="71"/>
      <c r="I26" s="76">
        <f>I27+I28</f>
        <v>10</v>
      </c>
      <c r="J26" s="76">
        <f t="shared" ref="J26:P26" si="19">J27+J28</f>
        <v>10</v>
      </c>
      <c r="K26" s="76">
        <f t="shared" si="19"/>
        <v>10</v>
      </c>
      <c r="L26" s="76">
        <f t="shared" si="19"/>
        <v>10</v>
      </c>
      <c r="M26" s="76">
        <f t="shared" si="19"/>
        <v>10</v>
      </c>
      <c r="N26" s="76">
        <f t="shared" si="19"/>
        <v>10</v>
      </c>
      <c r="O26" s="76">
        <f t="shared" si="19"/>
        <v>10</v>
      </c>
      <c r="P26" s="76">
        <f t="shared" si="19"/>
        <v>10</v>
      </c>
    </row>
    <row r="27" spans="1:16">
      <c r="A27" s="90">
        <v>2.1</v>
      </c>
      <c r="B27" s="68" t="s">
        <v>96</v>
      </c>
      <c r="C27" s="69" t="s">
        <v>97</v>
      </c>
      <c r="D27" s="71">
        <v>2.6</v>
      </c>
      <c r="E27" s="81">
        <v>5.65</v>
      </c>
      <c r="F27" s="81"/>
      <c r="G27" s="71"/>
      <c r="H27" s="71"/>
      <c r="I27" s="71">
        <v>5</v>
      </c>
      <c r="J27" s="71">
        <f>I27</f>
        <v>5</v>
      </c>
      <c r="K27" s="71">
        <f t="shared" ref="K27:R27" si="20">J27</f>
        <v>5</v>
      </c>
      <c r="L27" s="71">
        <f t="shared" si="20"/>
        <v>5</v>
      </c>
      <c r="M27" s="71">
        <f t="shared" si="20"/>
        <v>5</v>
      </c>
      <c r="N27" s="71">
        <f t="shared" si="20"/>
        <v>5</v>
      </c>
      <c r="O27" s="71">
        <f t="shared" si="20"/>
        <v>5</v>
      </c>
      <c r="P27" s="71">
        <f t="shared" si="20"/>
        <v>5</v>
      </c>
    </row>
    <row r="28" spans="1:16">
      <c r="A28" s="90">
        <v>2.2</v>
      </c>
      <c r="B28" s="68" t="s">
        <v>98</v>
      </c>
      <c r="C28" s="69" t="s">
        <v>99</v>
      </c>
      <c r="D28" s="71">
        <v>1</v>
      </c>
      <c r="E28" s="81">
        <v>195.02</v>
      </c>
      <c r="F28" s="81"/>
      <c r="G28" s="71"/>
      <c r="H28" s="71"/>
      <c r="I28" s="71">
        <v>5</v>
      </c>
      <c r="J28" s="71">
        <f>I28</f>
        <v>5</v>
      </c>
      <c r="K28" s="71">
        <f t="shared" ref="K28:R28" si="21">J28</f>
        <v>5</v>
      </c>
      <c r="L28" s="71">
        <f t="shared" si="21"/>
        <v>5</v>
      </c>
      <c r="M28" s="71">
        <f t="shared" si="21"/>
        <v>5</v>
      </c>
      <c r="N28" s="71">
        <f t="shared" si="21"/>
        <v>5</v>
      </c>
      <c r="O28" s="71">
        <f t="shared" si="21"/>
        <v>5</v>
      </c>
      <c r="P28" s="71">
        <f t="shared" si="21"/>
        <v>5</v>
      </c>
    </row>
    <row r="29" ht="21.6" spans="1:16">
      <c r="A29" s="88">
        <v>3</v>
      </c>
      <c r="B29" s="75" t="s">
        <v>100</v>
      </c>
      <c r="C29" s="76"/>
      <c r="D29" s="76"/>
      <c r="E29" s="76"/>
      <c r="F29" s="76"/>
      <c r="G29" s="71"/>
      <c r="H29" s="71"/>
      <c r="I29" s="76">
        <f>I26+I7</f>
        <v>5985.5</v>
      </c>
      <c r="J29" s="76">
        <f t="shared" ref="J29:P29" si="22">J26+J7</f>
        <v>8973.25</v>
      </c>
      <c r="K29" s="76">
        <f t="shared" si="22"/>
        <v>11961</v>
      </c>
      <c r="L29" s="76">
        <f t="shared" si="22"/>
        <v>11961</v>
      </c>
      <c r="M29" s="76">
        <f t="shared" si="22"/>
        <v>11961</v>
      </c>
      <c r="N29" s="76">
        <f t="shared" si="22"/>
        <v>11961</v>
      </c>
      <c r="O29" s="76">
        <f t="shared" si="22"/>
        <v>11961</v>
      </c>
      <c r="P29" s="76">
        <f t="shared" si="22"/>
        <v>11961</v>
      </c>
    </row>
  </sheetData>
  <mergeCells count="5">
    <mergeCell ref="A4:A5"/>
    <mergeCell ref="A6:A7"/>
    <mergeCell ref="A8:A9"/>
    <mergeCell ref="A10:A11"/>
    <mergeCell ref="A1:P2"/>
  </mergeCells>
  <pageMargins left="0.432638888888889" right="0.275" top="1" bottom="1" header="0.511805555555556" footer="0.511805555555556"/>
  <pageSetup paperSize="9" scale="87" fitToHeight="0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J22" sqref="J22"/>
    </sheetView>
  </sheetViews>
  <sheetFormatPr defaultColWidth="9" defaultRowHeight="14.4"/>
  <cols>
    <col min="2" max="2" width="23" customWidth="1"/>
    <col min="4" max="4" width="14.3333333333333" customWidth="1"/>
    <col min="7" max="14" width="12.8888888888889"/>
    <col min="16" max="19" width="12.8888888888889"/>
    <col min="20" max="20" width="9.37962962962963"/>
  </cols>
  <sheetData>
    <row r="1" ht="15" customHeight="1" spans="1:14">
      <c r="A1" s="67" t="s">
        <v>101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</row>
    <row r="3" spans="1:14">
      <c r="A3" s="68" t="s">
        <v>2</v>
      </c>
      <c r="B3" s="69" t="s">
        <v>3</v>
      </c>
      <c r="C3" s="70" t="s">
        <v>64</v>
      </c>
      <c r="D3" s="70" t="s">
        <v>102</v>
      </c>
      <c r="E3" s="71">
        <v>1</v>
      </c>
      <c r="F3" s="71">
        <v>2</v>
      </c>
      <c r="G3" s="71">
        <v>3</v>
      </c>
      <c r="H3" s="71">
        <v>4</v>
      </c>
      <c r="I3" s="71">
        <v>5</v>
      </c>
      <c r="J3" s="71">
        <v>6</v>
      </c>
      <c r="K3" s="71">
        <v>7</v>
      </c>
      <c r="L3" s="71">
        <v>8</v>
      </c>
      <c r="M3" s="71">
        <v>9</v>
      </c>
      <c r="N3" s="71">
        <v>10</v>
      </c>
    </row>
    <row r="4" spans="1:14">
      <c r="A4" s="68">
        <v>1</v>
      </c>
      <c r="B4" s="69" t="s">
        <v>103</v>
      </c>
      <c r="C4" s="70"/>
      <c r="D4" s="70"/>
      <c r="E4" s="71"/>
      <c r="F4" s="71"/>
      <c r="G4" s="72">
        <f>G5+G10</f>
        <v>16570.83096</v>
      </c>
      <c r="H4" s="72">
        <f t="shared" ref="H4:N4" si="0">H5+H10</f>
        <v>22561.813752</v>
      </c>
      <c r="I4" s="72">
        <f t="shared" si="0"/>
        <v>28858.7209024</v>
      </c>
      <c r="J4" s="72">
        <f t="shared" si="0"/>
        <v>31061.37628288</v>
      </c>
      <c r="K4" s="72">
        <f t="shared" si="0"/>
        <v>33704.562739456</v>
      </c>
      <c r="L4" s="72">
        <f t="shared" si="0"/>
        <v>36876.3864873472</v>
      </c>
      <c r="M4" s="72">
        <f t="shared" si="0"/>
        <v>40682.5749848166</v>
      </c>
      <c r="N4" s="72">
        <f t="shared" si="0"/>
        <v>45250.00118178</v>
      </c>
    </row>
    <row r="5" spans="1:14">
      <c r="A5" s="68">
        <v>1.1</v>
      </c>
      <c r="B5" s="68" t="s">
        <v>104</v>
      </c>
      <c r="C5" s="68" t="s">
        <v>105</v>
      </c>
      <c r="D5" s="68"/>
      <c r="E5" s="68"/>
      <c r="F5" s="68"/>
      <c r="G5" s="72">
        <f>SUM(G6:G9)</f>
        <v>8922.722</v>
      </c>
      <c r="H5" s="72">
        <f t="shared" ref="H5:O5" si="1">SUM(H6:H9)</f>
        <v>13384.083</v>
      </c>
      <c r="I5" s="72">
        <f t="shared" si="1"/>
        <v>17845.444</v>
      </c>
      <c r="J5" s="72">
        <f t="shared" si="1"/>
        <v>17845.444</v>
      </c>
      <c r="K5" s="72">
        <f t="shared" si="1"/>
        <v>17845.444</v>
      </c>
      <c r="L5" s="72">
        <f t="shared" si="1"/>
        <v>17845.444</v>
      </c>
      <c r="M5" s="72">
        <f t="shared" si="1"/>
        <v>17845.444</v>
      </c>
      <c r="N5" s="72">
        <f t="shared" si="1"/>
        <v>17845.444</v>
      </c>
    </row>
    <row r="6" spans="1:14">
      <c r="A6" s="68" t="s">
        <v>12</v>
      </c>
      <c r="B6" s="68" t="s">
        <v>83</v>
      </c>
      <c r="C6" s="68" t="s">
        <v>105</v>
      </c>
      <c r="D6" s="68">
        <v>0.54</v>
      </c>
      <c r="E6" s="68"/>
      <c r="F6" s="68"/>
      <c r="G6" s="72">
        <f>$D$6*'项目原材料及动力消耗费用估算表 '!I6*(1-'项目原材料及动力消耗费用估算表 '!$C$22)*'项目原材料及动力消耗费用估算表 '!$C$17</f>
        <v>8096.76</v>
      </c>
      <c r="H6" s="72">
        <f>$D$6*'项目原材料及动力消耗费用估算表 '!J6*(1-'项目原材料及动力消耗费用估算表 '!$C$22)*'项目原材料及动力消耗费用估算表 '!$C$17</f>
        <v>12145.14</v>
      </c>
      <c r="I6" s="72">
        <f>$D$6*'项目原材料及动力消耗费用估算表 '!K6*(1-'项目原材料及动力消耗费用估算表 '!$C$22)*'项目原材料及动力消耗费用估算表 '!$C$17</f>
        <v>16193.52</v>
      </c>
      <c r="J6" s="72">
        <f>$D$6*'项目原材料及动力消耗费用估算表 '!L6*(1-'项目原材料及动力消耗费用估算表 '!$C$22)*'项目原材料及动力消耗费用估算表 '!$C$17</f>
        <v>16193.52</v>
      </c>
      <c r="K6" s="72">
        <f>$D$6*'项目原材料及动力消耗费用估算表 '!M6*(1-'项目原材料及动力消耗费用估算表 '!$C$22)*'项目原材料及动力消耗费用估算表 '!$C$17</f>
        <v>16193.52</v>
      </c>
      <c r="L6" s="72">
        <f>$D$6*'项目原材料及动力消耗费用估算表 '!N6*(1-'项目原材料及动力消耗费用估算表 '!$C$22)*'项目原材料及动力消耗费用估算表 '!$C$17</f>
        <v>16193.52</v>
      </c>
      <c r="M6" s="72">
        <f>$D$6*'项目原材料及动力消耗费用估算表 '!O6*(1-'项目原材料及动力消耗费用估算表 '!$C$22)*'项目原材料及动力消耗费用估算表 '!$C$17</f>
        <v>16193.52</v>
      </c>
      <c r="N6" s="72">
        <f>$D$6*'项目原材料及动力消耗费用估算表 '!P6*(1-'项目原材料及动力消耗费用估算表 '!$C$22)*'项目原材料及动力消耗费用估算表 '!$C$17</f>
        <v>16193.52</v>
      </c>
    </row>
    <row r="7" spans="1:14">
      <c r="A7" s="68" t="s">
        <v>14</v>
      </c>
      <c r="B7" s="68" t="s">
        <v>106</v>
      </c>
      <c r="C7" s="68" t="s">
        <v>105</v>
      </c>
      <c r="D7" s="68">
        <v>0.58</v>
      </c>
      <c r="E7" s="68"/>
      <c r="F7" s="68"/>
      <c r="G7" s="72">
        <f>$D$7*'项目原材料及动力消耗费用估算表 '!I6*(1-'项目原材料及动力消耗费用估算表 '!$C$23)*'项目原材料及动力消耗费用估算表 '!$C$18</f>
        <v>473.28</v>
      </c>
      <c r="H7" s="72">
        <f>$D$7*'项目原材料及动力消耗费用估算表 '!J6*(1-'项目原材料及动力消耗费用估算表 '!$C$23)*'项目原材料及动力消耗费用估算表 '!$C$18</f>
        <v>709.92</v>
      </c>
      <c r="I7" s="72">
        <f>$D$7*'项目原材料及动力消耗费用估算表 '!K6*(1-'项目原材料及动力消耗费用估算表 '!$C$23)*'项目原材料及动力消耗费用估算表 '!$C$18</f>
        <v>946.56</v>
      </c>
      <c r="J7" s="72">
        <f>$D$7*'项目原材料及动力消耗费用估算表 '!L6*(1-'项目原材料及动力消耗费用估算表 '!$C$23)*'项目原材料及动力消耗费用估算表 '!$C$18</f>
        <v>946.56</v>
      </c>
      <c r="K7" s="72">
        <f>$D$7*'项目原材料及动力消耗费用估算表 '!M6*(1-'项目原材料及动力消耗费用估算表 '!$C$23)*'项目原材料及动力消耗费用估算表 '!$C$18</f>
        <v>946.56</v>
      </c>
      <c r="L7" s="72">
        <f>$D$7*'项目原材料及动力消耗费用估算表 '!N6*(1-'项目原材料及动力消耗费用估算表 '!$C$23)*'项目原材料及动力消耗费用估算表 '!$C$18</f>
        <v>946.56</v>
      </c>
      <c r="M7" s="72">
        <f>$D$7*'项目原材料及动力消耗费用估算表 '!O6*(1-'项目原材料及动力消耗费用估算表 '!$C$23)*'项目原材料及动力消耗费用估算表 '!$C$18</f>
        <v>946.56</v>
      </c>
      <c r="N7" s="72">
        <f>$D$7*'项目原材料及动力消耗费用估算表 '!P6*(1-'项目原材料及动力消耗费用估算表 '!$C$23)*'项目原材料及动力消耗费用估算表 '!$C$18</f>
        <v>946.56</v>
      </c>
    </row>
    <row r="8" spans="1:14">
      <c r="A8" s="68" t="s">
        <v>20</v>
      </c>
      <c r="B8" s="68" t="s">
        <v>107</v>
      </c>
      <c r="C8" s="68" t="s">
        <v>105</v>
      </c>
      <c r="D8" s="68">
        <v>0.6</v>
      </c>
      <c r="E8" s="68"/>
      <c r="F8" s="68"/>
      <c r="G8" s="72">
        <f>$D$8*'项目原材料及动力消耗费用估算表 '!I6*(1-'项目原材料及动力消耗费用估算表 '!$C$24)*'项目原材料及动力消耗费用估算表 '!$C$19</f>
        <v>281.52</v>
      </c>
      <c r="H8" s="72">
        <f>$D$8*'项目原材料及动力消耗费用估算表 '!J6*(1-'项目原材料及动力消耗费用估算表 '!$C$24)*'项目原材料及动力消耗费用估算表 '!$C$19</f>
        <v>422.28</v>
      </c>
      <c r="I8" s="72">
        <f>$D$8*'项目原材料及动力消耗费用估算表 '!K6*(1-'项目原材料及动力消耗费用估算表 '!$C$24)*'项目原材料及动力消耗费用估算表 '!$C$19</f>
        <v>563.04</v>
      </c>
      <c r="J8" s="72">
        <f>$D$8*'项目原材料及动力消耗费用估算表 '!L6*(1-'项目原材料及动力消耗费用估算表 '!$C$24)*'项目原材料及动力消耗费用估算表 '!$C$19</f>
        <v>563.04</v>
      </c>
      <c r="K8" s="72">
        <f>$D$8*'项目原材料及动力消耗费用估算表 '!M6*(1-'项目原材料及动力消耗费用估算表 '!$C$24)*'项目原材料及动力消耗费用估算表 '!$C$19</f>
        <v>563.04</v>
      </c>
      <c r="L8" s="72">
        <f>$D$8*'项目原材料及动力消耗费用估算表 '!N6*(1-'项目原材料及动力消耗费用估算表 '!$C$24)*'项目原材料及动力消耗费用估算表 '!$C$19</f>
        <v>563.04</v>
      </c>
      <c r="M8" s="72">
        <f>$D$8*'项目原材料及动力消耗费用估算表 '!O6*(1-'项目原材料及动力消耗费用估算表 '!$C$24)*'项目原材料及动力消耗费用估算表 '!$C$19</f>
        <v>563.04</v>
      </c>
      <c r="N8" s="72">
        <f>$D$8*'项目原材料及动力消耗费用估算表 '!P6*(1-'项目原材料及动力消耗费用估算表 '!$C$24)*'项目原材料及动力消耗费用估算表 '!$C$19</f>
        <v>563.04</v>
      </c>
    </row>
    <row r="9" spans="1:14">
      <c r="A9" s="68" t="s">
        <v>108</v>
      </c>
      <c r="B9" s="68" t="s">
        <v>89</v>
      </c>
      <c r="C9" s="68" t="s">
        <v>105</v>
      </c>
      <c r="D9" s="68">
        <v>0.455</v>
      </c>
      <c r="E9" s="68"/>
      <c r="F9" s="68"/>
      <c r="G9" s="72">
        <f>$D$9*'项目原材料及动力消耗费用估算表 '!I6*(1-'项目原材料及动力消耗费用估算表 '!$C$25)*0.5*'项目原材料及动力消耗费用估算表 '!$C$20</f>
        <v>71.162</v>
      </c>
      <c r="H9" s="72">
        <f>$D$9*'项目原材料及动力消耗费用估算表 '!J6*(1-'项目原材料及动力消耗费用估算表 '!$C$25)*0.5*'项目原材料及动力消耗费用估算表 '!$C$20</f>
        <v>106.743</v>
      </c>
      <c r="I9" s="72">
        <f>$D$9*'项目原材料及动力消耗费用估算表 '!K6*(1-'项目原材料及动力消耗费用估算表 '!$C$25)*0.5*'项目原材料及动力消耗费用估算表 '!$C$20</f>
        <v>142.324</v>
      </c>
      <c r="J9" s="72">
        <f>$D$9*'项目原材料及动力消耗费用估算表 '!L6*(1-'项目原材料及动力消耗费用估算表 '!$C$25)*0.5*'项目原材料及动力消耗费用估算表 '!$C$20</f>
        <v>142.324</v>
      </c>
      <c r="K9" s="72">
        <f>$D$9*'项目原材料及动力消耗费用估算表 '!M6*(1-'项目原材料及动力消耗费用估算表 '!$C$25)*0.5*'项目原材料及动力消耗费用估算表 '!$C$20</f>
        <v>142.324</v>
      </c>
      <c r="L9" s="72">
        <f>$D$9*'项目原材料及动力消耗费用估算表 '!N6*(1-'项目原材料及动力消耗费用估算表 '!$C$25)*0.5*'项目原材料及动力消耗费用估算表 '!$C$20</f>
        <v>142.324</v>
      </c>
      <c r="M9" s="72">
        <f>$D$9*'项目原材料及动力消耗费用估算表 '!O6*(1-'项目原材料及动力消耗费用估算表 '!$C$25)*0.5*'项目原材料及动力消耗费用估算表 '!$C$20</f>
        <v>142.324</v>
      </c>
      <c r="N9" s="72">
        <f>$D$9*'项目原材料及动力消耗费用估算表 '!P6*(1-'项目原材料及动力消耗费用估算表 '!$C$25)*0.5*'项目原材料及动力消耗费用估算表 '!$C$20</f>
        <v>142.324</v>
      </c>
    </row>
    <row r="10" spans="1:14">
      <c r="A10" s="68">
        <v>1.2</v>
      </c>
      <c r="B10" s="68" t="s">
        <v>109</v>
      </c>
      <c r="C10" s="68" t="s">
        <v>105</v>
      </c>
      <c r="D10" s="68"/>
      <c r="E10" s="68"/>
      <c r="F10" s="68"/>
      <c r="G10" s="72">
        <f>SUM(G11:G14)</f>
        <v>7648.10896</v>
      </c>
      <c r="H10" s="72">
        <f t="shared" ref="H10:O10" si="2">SUM(H11:H14)</f>
        <v>9177.730752</v>
      </c>
      <c r="I10" s="72">
        <f t="shared" si="2"/>
        <v>11013.2769024</v>
      </c>
      <c r="J10" s="72">
        <f t="shared" si="2"/>
        <v>13215.93228288</v>
      </c>
      <c r="K10" s="72">
        <f t="shared" si="2"/>
        <v>15859.118739456</v>
      </c>
      <c r="L10" s="72">
        <f t="shared" si="2"/>
        <v>19030.9424873472</v>
      </c>
      <c r="M10" s="72">
        <f t="shared" si="2"/>
        <v>22837.1309848166</v>
      </c>
      <c r="N10" s="72">
        <f t="shared" si="2"/>
        <v>27404.55718178</v>
      </c>
    </row>
    <row r="11" spans="1:14">
      <c r="A11" s="68" t="s">
        <v>27</v>
      </c>
      <c r="B11" s="68" t="s">
        <v>83</v>
      </c>
      <c r="C11" s="68" t="s">
        <v>105</v>
      </c>
      <c r="D11" s="68">
        <f>0.0248+0.02</f>
        <v>0.0448</v>
      </c>
      <c r="E11" s="68"/>
      <c r="F11" s="68"/>
      <c r="G11" s="72">
        <f>$D$11*'项目原材料及动力消耗费用估算表 '!$E$17*(1-'项目原材料及动力消耗费用估算表 '!$C$22)</f>
        <v>5294.8224</v>
      </c>
      <c r="H11" s="72">
        <f>G11*1.2</f>
        <v>6353.78688</v>
      </c>
      <c r="I11" s="72">
        <f t="shared" ref="I11:N11" si="3">H11*1.2</f>
        <v>7624.544256</v>
      </c>
      <c r="J11" s="72">
        <f t="shared" si="3"/>
        <v>9149.4531072</v>
      </c>
      <c r="K11" s="72">
        <f t="shared" si="3"/>
        <v>10979.34372864</v>
      </c>
      <c r="L11" s="72">
        <f t="shared" si="3"/>
        <v>13175.212474368</v>
      </c>
      <c r="M11" s="72">
        <f t="shared" si="3"/>
        <v>15810.2549692416</v>
      </c>
      <c r="N11" s="72">
        <f t="shared" si="3"/>
        <v>18972.3059630899</v>
      </c>
    </row>
    <row r="12" spans="1:14">
      <c r="A12" s="68" t="s">
        <v>29</v>
      </c>
      <c r="B12" s="68" t="s">
        <v>106</v>
      </c>
      <c r="C12" s="68" t="s">
        <v>105</v>
      </c>
      <c r="D12" s="68">
        <f>0.0248+0.0366+0.02</f>
        <v>0.0814</v>
      </c>
      <c r="E12" s="68"/>
      <c r="F12" s="68"/>
      <c r="G12" s="72">
        <f>$D$12*'项目原材料及动力消耗费用估算表 '!$E$18*(1-'项目原材料及动力消耗费用估算表 '!$C$23)</f>
        <v>523.5648</v>
      </c>
      <c r="H12" s="72">
        <f>G12*1.2</f>
        <v>628.27776</v>
      </c>
      <c r="I12" s="72">
        <f t="shared" ref="I12:N12" si="4">H12*1.2</f>
        <v>753.933312</v>
      </c>
      <c r="J12" s="72">
        <f t="shared" si="4"/>
        <v>904.7199744</v>
      </c>
      <c r="K12" s="72">
        <f t="shared" si="4"/>
        <v>1085.66396928</v>
      </c>
      <c r="L12" s="72">
        <f t="shared" si="4"/>
        <v>1302.796763136</v>
      </c>
      <c r="M12" s="72">
        <f t="shared" si="4"/>
        <v>1563.3561157632</v>
      </c>
      <c r="N12" s="72">
        <f t="shared" si="4"/>
        <v>1876.02733891584</v>
      </c>
    </row>
    <row r="13" spans="1:14">
      <c r="A13" s="68" t="s">
        <v>31</v>
      </c>
      <c r="B13" s="68" t="s">
        <v>107</v>
      </c>
      <c r="C13" s="68" t="s">
        <v>105</v>
      </c>
      <c r="D13" s="68">
        <f>D12+0.4</f>
        <v>0.4814</v>
      </c>
      <c r="E13" s="68"/>
      <c r="F13" s="68"/>
      <c r="G13" s="72">
        <f>$D$13*'项目原材料及动力消耗费用估算表 '!$E$19*(1-'项目原材料及动力消耗费用估算表 '!$C$24)</f>
        <v>1780.40976</v>
      </c>
      <c r="H13" s="72">
        <f>G13*1.2</f>
        <v>2136.491712</v>
      </c>
      <c r="I13" s="72">
        <f t="shared" ref="I13:N13" si="5">H13*1.2</f>
        <v>2563.7900544</v>
      </c>
      <c r="J13" s="72">
        <f t="shared" si="5"/>
        <v>3076.54806528</v>
      </c>
      <c r="K13" s="72">
        <f t="shared" si="5"/>
        <v>3691.857678336</v>
      </c>
      <c r="L13" s="72">
        <f t="shared" si="5"/>
        <v>4430.2292140032</v>
      </c>
      <c r="M13" s="72">
        <f t="shared" si="5"/>
        <v>5316.27505680384</v>
      </c>
      <c r="N13" s="72">
        <f t="shared" si="5"/>
        <v>6379.53006816461</v>
      </c>
    </row>
    <row r="14" spans="1:14">
      <c r="A14" s="68" t="s">
        <v>33</v>
      </c>
      <c r="B14" s="68" t="s">
        <v>89</v>
      </c>
      <c r="C14" s="68" t="s">
        <v>105</v>
      </c>
      <c r="D14" s="68">
        <v>0.02</v>
      </c>
      <c r="E14" s="68"/>
      <c r="F14" s="68"/>
      <c r="G14" s="72">
        <f>$D$14*'项目原材料及动力消耗费用估算表 '!$E$20*(1-'项目原材料及动力消耗费用估算表 '!$C$25)</f>
        <v>49.312</v>
      </c>
      <c r="H14" s="72">
        <f t="shared" ref="H14:N14" si="6">G14*1.2</f>
        <v>59.1744</v>
      </c>
      <c r="I14" s="72">
        <f t="shared" si="6"/>
        <v>71.00928</v>
      </c>
      <c r="J14" s="72">
        <f t="shared" si="6"/>
        <v>85.211136</v>
      </c>
      <c r="K14" s="72">
        <f t="shared" si="6"/>
        <v>102.2533632</v>
      </c>
      <c r="L14" s="72">
        <f t="shared" si="6"/>
        <v>122.70403584</v>
      </c>
      <c r="M14" s="72">
        <f t="shared" si="6"/>
        <v>147.244843008</v>
      </c>
      <c r="N14" s="72">
        <f t="shared" si="6"/>
        <v>176.6938116096</v>
      </c>
    </row>
    <row r="15" spans="1:14">
      <c r="A15" s="68">
        <v>2</v>
      </c>
      <c r="B15" s="68" t="s">
        <v>110</v>
      </c>
      <c r="C15" s="68" t="s">
        <v>105</v>
      </c>
      <c r="D15" s="68"/>
      <c r="E15" s="68"/>
      <c r="F15" s="68"/>
      <c r="G15" s="72">
        <f>G16+G17+G18</f>
        <v>1981.32688952</v>
      </c>
      <c r="H15" s="72">
        <f t="shared" ref="H15:N15" si="7">H16+H17+H18</f>
        <v>2542.931421624</v>
      </c>
      <c r="I15" s="72">
        <f t="shared" si="7"/>
        <v>3161.7438087488</v>
      </c>
      <c r="J15" s="72">
        <f t="shared" si="7"/>
        <v>3573.64036489856</v>
      </c>
      <c r="K15" s="72">
        <f t="shared" si="7"/>
        <v>4067.91623227827</v>
      </c>
      <c r="L15" s="72">
        <f t="shared" si="7"/>
        <v>4661.04727313393</v>
      </c>
      <c r="M15" s="72">
        <f t="shared" si="7"/>
        <v>5372.80452216071</v>
      </c>
      <c r="N15" s="72">
        <f t="shared" si="7"/>
        <v>6226.91322099285</v>
      </c>
    </row>
    <row r="16" spans="1:14">
      <c r="A16" s="68">
        <v>3.1</v>
      </c>
      <c r="B16" s="68" t="s">
        <v>111</v>
      </c>
      <c r="D16" s="68"/>
      <c r="E16" s="68"/>
      <c r="F16" s="68"/>
      <c r="G16" s="72">
        <f>(G5-'项目原材料及动力消耗费用估算表 '!I7)*0.17</f>
        <v>501.02774</v>
      </c>
      <c r="H16" s="72">
        <f>(H5-'项目原材料及动力消耗费用估算表 '!J7)*0.17</f>
        <v>751.54161</v>
      </c>
      <c r="I16" s="72">
        <f>(I5-'项目原材料及动力消耗费用估算表 '!K7)*0.17</f>
        <v>1002.05548</v>
      </c>
      <c r="J16" s="72">
        <f>(J5-'项目原材料及动力消耗费用估算表 '!L7)*0.17</f>
        <v>1002.05548</v>
      </c>
      <c r="K16" s="72">
        <f>(K5-'项目原材料及动力消耗费用估算表 '!M7)*0.17</f>
        <v>1002.05548</v>
      </c>
      <c r="L16" s="72">
        <f>(L5-'项目原材料及动力消耗费用估算表 '!N7)*0.17</f>
        <v>1002.05548</v>
      </c>
      <c r="M16" s="72">
        <f>(M5-'项目原材料及动力消耗费用估算表 '!O7)*0.17</f>
        <v>1002.05548</v>
      </c>
      <c r="N16" s="72">
        <f>(N5-'项目原材料及动力消耗费用估算表 '!P7)*0.17</f>
        <v>1002.05548</v>
      </c>
    </row>
    <row r="17" spans="1:14">
      <c r="A17" s="68">
        <v>3.2</v>
      </c>
      <c r="B17" s="68" t="s">
        <v>112</v>
      </c>
      <c r="C17" s="68" t="s">
        <v>105</v>
      </c>
      <c r="D17" s="68"/>
      <c r="E17" s="68"/>
      <c r="F17" s="68"/>
      <c r="G17" s="72">
        <f>G10*0.17</f>
        <v>1300.1785232</v>
      </c>
      <c r="H17" s="72">
        <f t="shared" ref="H17:O17" si="8">H10*0.17</f>
        <v>1560.21422784</v>
      </c>
      <c r="I17" s="72">
        <f t="shared" si="8"/>
        <v>1872.257073408</v>
      </c>
      <c r="J17" s="72">
        <f t="shared" si="8"/>
        <v>2246.7084880896</v>
      </c>
      <c r="K17" s="72">
        <f t="shared" si="8"/>
        <v>2696.05018570752</v>
      </c>
      <c r="L17" s="72">
        <f t="shared" si="8"/>
        <v>3235.26022284902</v>
      </c>
      <c r="M17" s="72">
        <f t="shared" si="8"/>
        <v>3882.31226741883</v>
      </c>
      <c r="N17" s="72">
        <f t="shared" si="8"/>
        <v>4658.77472090259</v>
      </c>
    </row>
    <row r="18" spans="1:14">
      <c r="A18" s="68">
        <v>3.3</v>
      </c>
      <c r="B18" s="68" t="s">
        <v>113</v>
      </c>
      <c r="C18" s="68"/>
      <c r="D18" s="68"/>
      <c r="E18" s="68"/>
      <c r="F18" s="68"/>
      <c r="G18" s="72">
        <f>(G17+G16)*0.1</f>
        <v>180.12062632</v>
      </c>
      <c r="H18" s="72">
        <f t="shared" ref="H18:N18" si="9">(H17+H16)*0.1</f>
        <v>231.175583784</v>
      </c>
      <c r="I18" s="72">
        <f t="shared" si="9"/>
        <v>287.4312553408</v>
      </c>
      <c r="J18" s="72">
        <f t="shared" si="9"/>
        <v>324.87639680896</v>
      </c>
      <c r="K18" s="72">
        <f t="shared" si="9"/>
        <v>369.810566570752</v>
      </c>
      <c r="L18" s="72">
        <f t="shared" si="9"/>
        <v>423.731570284902</v>
      </c>
      <c r="M18" s="72">
        <f t="shared" si="9"/>
        <v>488.436774741883</v>
      </c>
      <c r="N18" s="72">
        <f t="shared" si="9"/>
        <v>566.083020090259</v>
      </c>
    </row>
  </sheetData>
  <mergeCells count="1">
    <mergeCell ref="A1:N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workbookViewId="0">
      <selection activeCell="J22" sqref="J22"/>
    </sheetView>
  </sheetViews>
  <sheetFormatPr defaultColWidth="9" defaultRowHeight="14.4"/>
  <cols>
    <col min="2" max="2" width="16" customWidth="1"/>
    <col min="3" max="3" width="13"/>
    <col min="5" max="6" width="10.8888888888889"/>
    <col min="7" max="7" width="12.25" customWidth="1"/>
    <col min="8" max="12" width="10"/>
    <col min="13" max="13" width="13"/>
    <col min="14" max="14" width="12.5"/>
  </cols>
  <sheetData>
    <row r="1" ht="17.25" customHeight="1" spans="1:12">
      <c r="A1" s="38" t="s">
        <v>114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ht="15.15" spans="1:1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ht="15.15" spans="1:12">
      <c r="A3" s="51" t="s">
        <v>2</v>
      </c>
      <c r="B3" s="52" t="s">
        <v>115</v>
      </c>
      <c r="C3" s="41">
        <v>1</v>
      </c>
      <c r="D3" s="41">
        <v>2</v>
      </c>
      <c r="E3" s="41">
        <v>3</v>
      </c>
      <c r="F3" s="41">
        <v>4</v>
      </c>
      <c r="G3" s="41">
        <v>5</v>
      </c>
      <c r="H3" s="41">
        <v>6</v>
      </c>
      <c r="I3" s="41">
        <v>7</v>
      </c>
      <c r="J3" s="41">
        <v>8</v>
      </c>
      <c r="K3" s="41">
        <v>9</v>
      </c>
      <c r="L3" s="41">
        <v>10</v>
      </c>
    </row>
    <row r="4" ht="15.15" spans="1:12">
      <c r="A4" s="51"/>
      <c r="B4" s="52" t="s">
        <v>3</v>
      </c>
      <c r="C4" s="41"/>
      <c r="D4" s="41"/>
      <c r="E4" s="41"/>
      <c r="F4" s="41"/>
      <c r="G4" s="41"/>
      <c r="H4" s="41"/>
      <c r="I4" s="41"/>
      <c r="J4" s="41"/>
      <c r="K4" s="41"/>
      <c r="L4" s="41"/>
    </row>
    <row r="5" ht="16.35" spans="1:12">
      <c r="A5" s="51">
        <v>1</v>
      </c>
      <c r="B5" s="34" t="s">
        <v>116</v>
      </c>
      <c r="C5" s="26"/>
      <c r="D5" s="26"/>
      <c r="E5" s="53">
        <f>项目销售收入及销售税金估算表!G4</f>
        <v>16570.83096</v>
      </c>
      <c r="F5" s="53">
        <f>项目销售收入及销售税金估算表!H4</f>
        <v>22561.813752</v>
      </c>
      <c r="G5" s="53">
        <f>项目销售收入及销售税金估算表!I4</f>
        <v>28858.7209024</v>
      </c>
      <c r="H5" s="53">
        <f>项目销售收入及销售税金估算表!J4</f>
        <v>31061.37628288</v>
      </c>
      <c r="I5" s="53">
        <f>项目销售收入及销售税金估算表!K4</f>
        <v>33704.562739456</v>
      </c>
      <c r="J5" s="53">
        <f>项目销售收入及销售税金估算表!L4</f>
        <v>36876.3864873472</v>
      </c>
      <c r="K5" s="53">
        <f>项目销售收入及销售税金估算表!M4</f>
        <v>40682.5749848166</v>
      </c>
      <c r="L5" s="53">
        <f>项目销售收入及销售税金估算表!N4</f>
        <v>45250.00118178</v>
      </c>
    </row>
    <row r="6" ht="16.35" spans="1:12">
      <c r="A6" s="51">
        <v>1.1</v>
      </c>
      <c r="B6" s="36" t="s">
        <v>103</v>
      </c>
      <c r="C6" s="26"/>
      <c r="D6" s="26"/>
      <c r="E6" s="53">
        <f>项目销售收入及销售税金估算表!G4</f>
        <v>16570.83096</v>
      </c>
      <c r="F6" s="53">
        <f>项目销售收入及销售税金估算表!H4</f>
        <v>22561.813752</v>
      </c>
      <c r="G6" s="53">
        <f>项目销售收入及销售税金估算表!I4</f>
        <v>28858.7209024</v>
      </c>
      <c r="H6" s="53">
        <f>项目销售收入及销售税金估算表!J4</f>
        <v>31061.37628288</v>
      </c>
      <c r="I6" s="53">
        <f>项目销售收入及销售税金估算表!K4</f>
        <v>33704.562739456</v>
      </c>
      <c r="J6" s="53">
        <f>项目销售收入及销售税金估算表!L4</f>
        <v>36876.3864873472</v>
      </c>
      <c r="K6" s="53">
        <f>项目销售收入及销售税金估算表!M4</f>
        <v>40682.5749848166</v>
      </c>
      <c r="L6" s="53">
        <f>项目销售收入及销售税金估算表!N4</f>
        <v>45250.00118178</v>
      </c>
    </row>
    <row r="7" ht="16.35" spans="1:12">
      <c r="A7" s="51">
        <v>1.2</v>
      </c>
      <c r="B7" s="34" t="s">
        <v>117</v>
      </c>
      <c r="C7" s="26"/>
      <c r="D7" s="26"/>
      <c r="E7" s="53"/>
      <c r="F7" s="53"/>
      <c r="G7" s="53"/>
      <c r="H7" s="53"/>
      <c r="I7" s="53"/>
      <c r="J7" s="53"/>
      <c r="K7" s="53"/>
      <c r="L7" s="53"/>
    </row>
    <row r="8" ht="16.35" spans="1:12">
      <c r="A8" s="51">
        <v>1.3</v>
      </c>
      <c r="B8" s="34" t="s">
        <v>118</v>
      </c>
      <c r="C8" s="26"/>
      <c r="D8" s="26"/>
      <c r="E8" s="53"/>
      <c r="F8" s="53"/>
      <c r="G8" s="53"/>
      <c r="H8" s="53"/>
      <c r="I8" s="53"/>
      <c r="J8" s="53"/>
      <c r="K8" s="53"/>
      <c r="L8" s="53"/>
    </row>
    <row r="9" ht="16.35" spans="1:12">
      <c r="A9" s="51">
        <v>1.4</v>
      </c>
      <c r="B9" s="34" t="s">
        <v>119</v>
      </c>
      <c r="C9" s="26"/>
      <c r="D9" s="26"/>
      <c r="E9" s="53"/>
      <c r="F9" s="53"/>
      <c r="G9" s="53"/>
      <c r="H9" s="53"/>
      <c r="I9" s="53"/>
      <c r="J9" s="53"/>
      <c r="K9" s="53"/>
      <c r="L9" s="53"/>
    </row>
    <row r="10" ht="16.35" spans="1:12">
      <c r="A10" s="51">
        <v>2</v>
      </c>
      <c r="B10" s="34" t="s">
        <v>120</v>
      </c>
      <c r="C10" s="53">
        <f>SUM(C11:C16)</f>
        <v>11771.25</v>
      </c>
      <c r="D10" s="53">
        <f>SUM(D11:D16)</f>
        <v>12491.25</v>
      </c>
      <c r="E10" s="53">
        <f>SUM(E11:E16)</f>
        <v>12693.3325435953</v>
      </c>
      <c r="F10" s="53">
        <f t="shared" ref="F10:L10" si="0">SUM(F11:F16)</f>
        <v>16673.0941406733</v>
      </c>
      <c r="G10" s="53">
        <f t="shared" si="0"/>
        <v>20772.2427186169</v>
      </c>
      <c r="H10" s="53">
        <f t="shared" si="0"/>
        <v>21451.8289808492</v>
      </c>
      <c r="I10" s="53">
        <f t="shared" si="0"/>
        <v>22303.332495528</v>
      </c>
      <c r="J10" s="53">
        <f t="shared" si="0"/>
        <v>23361.1367131426</v>
      </c>
      <c r="K10" s="53">
        <f t="shared" si="0"/>
        <v>24666.50177428</v>
      </c>
      <c r="L10" s="53">
        <f t="shared" si="0"/>
        <v>26448.9398476449</v>
      </c>
    </row>
    <row r="11" ht="16.35" spans="1:12">
      <c r="A11" s="51">
        <v>2.1</v>
      </c>
      <c r="B11" s="34" t="s">
        <v>10</v>
      </c>
      <c r="C11" s="26">
        <f>投资估算表!G19/2+720</f>
        <v>11771.25</v>
      </c>
      <c r="D11" s="26">
        <f>C11+720</f>
        <v>12491.25</v>
      </c>
      <c r="E11" s="53"/>
      <c r="F11" s="53"/>
      <c r="G11" s="53"/>
      <c r="H11" s="53"/>
      <c r="I11" s="53"/>
      <c r="J11" s="53"/>
      <c r="K11" s="53"/>
      <c r="L11" s="53"/>
    </row>
    <row r="12" ht="16.35" spans="1:12">
      <c r="A12" s="51">
        <v>2.2</v>
      </c>
      <c r="B12" s="34" t="s">
        <v>121</v>
      </c>
      <c r="C12" s="26"/>
      <c r="D12" s="26"/>
      <c r="E12" s="53"/>
      <c r="F12" s="53"/>
      <c r="G12" s="53"/>
      <c r="H12" s="53"/>
      <c r="I12" s="53"/>
      <c r="J12" s="53"/>
      <c r="K12" s="53"/>
      <c r="L12" s="53"/>
    </row>
    <row r="13" ht="16.35" spans="1:12">
      <c r="A13" s="51">
        <v>2.3</v>
      </c>
      <c r="B13" s="36" t="s">
        <v>122</v>
      </c>
      <c r="C13" s="26"/>
      <c r="D13" s="26"/>
      <c r="E13" s="53">
        <f>'项目总成本费用表       '!E13</f>
        <v>9419.50618194043</v>
      </c>
      <c r="F13" s="53">
        <f>'项目总成本费用表       '!F13</f>
        <v>12167.2561819404</v>
      </c>
      <c r="G13" s="53">
        <f>'项目总成本费用表       '!G13</f>
        <v>14915.0061819404</v>
      </c>
      <c r="H13" s="53">
        <f>'项目总成本费用表       '!H13</f>
        <v>14675.0061819404</v>
      </c>
      <c r="I13" s="53">
        <f>'项目总成本费用表       '!I13</f>
        <v>14435.0061819404</v>
      </c>
      <c r="J13" s="53">
        <f>'项目总成本费用表       '!J13</f>
        <v>14195.0061819404</v>
      </c>
      <c r="K13" s="53">
        <f>'项目总成本费用表       '!K13</f>
        <v>13955.0061819404</v>
      </c>
      <c r="L13" s="53">
        <f>'项目总成本费用表       '!L13</f>
        <v>13955.0061819404</v>
      </c>
    </row>
    <row r="14" ht="16.35" spans="1:12">
      <c r="A14" s="51">
        <v>2.4</v>
      </c>
      <c r="B14" s="34" t="s">
        <v>110</v>
      </c>
      <c r="C14" s="26"/>
      <c r="D14" s="26"/>
      <c r="E14" s="53">
        <f>项目销售收入及销售税金估算表!G15</f>
        <v>1981.32688952</v>
      </c>
      <c r="F14" s="53">
        <f>项目销售收入及销售税金估算表!H15</f>
        <v>2542.931421624</v>
      </c>
      <c r="G14" s="53">
        <f>项目销售收入及销售税金估算表!I15</f>
        <v>3161.7438087488</v>
      </c>
      <c r="H14" s="53">
        <f>项目销售收入及销售税金估算表!J15</f>
        <v>3573.64036489856</v>
      </c>
      <c r="I14" s="53">
        <f>项目销售收入及销售税金估算表!K15</f>
        <v>4067.91623227827</v>
      </c>
      <c r="J14" s="53">
        <f>项目销售收入及销售税金估算表!L15</f>
        <v>4661.04727313393</v>
      </c>
      <c r="K14" s="53">
        <f>项目销售收入及销售税金估算表!M15</f>
        <v>5372.80452216071</v>
      </c>
      <c r="L14" s="53">
        <f>项目销售收入及销售税金估算表!N15</f>
        <v>6226.91322099285</v>
      </c>
    </row>
    <row r="15" ht="16.35" spans="1:12">
      <c r="A15" s="51">
        <v>2.5</v>
      </c>
      <c r="B15" s="34" t="s">
        <v>123</v>
      </c>
      <c r="C15" s="26"/>
      <c r="D15" s="26"/>
      <c r="E15" s="53">
        <f>' 项目损益和利润分配表 '!E11</f>
        <v>1292.49947213489</v>
      </c>
      <c r="F15" s="53">
        <f>' 项目损益和利润分配表 '!F11</f>
        <v>1962.90653710889</v>
      </c>
      <c r="G15" s="53">
        <f>' 项目损益和利润分配表 '!G11</f>
        <v>2695.49272792769</v>
      </c>
      <c r="H15" s="53">
        <f>' 项目损益和利润分配表 '!H11</f>
        <v>3203.18243401025</v>
      </c>
      <c r="I15" s="53">
        <f>' 项目损益和利润分配表 '!I11</f>
        <v>3800.41008130933</v>
      </c>
      <c r="J15" s="53">
        <f>' 项目损益和利润分配表 '!J11</f>
        <v>4505.08325806821</v>
      </c>
      <c r="K15" s="53">
        <f>' 项目损益和利润分配表 '!K11</f>
        <v>5338.69107017887</v>
      </c>
      <c r="L15" s="53">
        <f>' 项目损益和利润分配表 '!L11</f>
        <v>6267.02044471167</v>
      </c>
    </row>
    <row r="16" ht="16.35" spans="1:12">
      <c r="A16" s="51">
        <v>2.6</v>
      </c>
      <c r="B16" s="34" t="s">
        <v>119</v>
      </c>
      <c r="C16" s="26"/>
      <c r="D16" s="26"/>
      <c r="E16" s="53">
        <v>0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</row>
    <row r="17" ht="16.35" spans="1:12">
      <c r="A17" s="51">
        <v>3</v>
      </c>
      <c r="B17" s="34" t="s">
        <v>124</v>
      </c>
      <c r="C17" s="35">
        <f>C5-C10</f>
        <v>-11771.25</v>
      </c>
      <c r="D17" s="35">
        <f t="shared" ref="D17:L17" si="1">D5-D10</f>
        <v>-12491.25</v>
      </c>
      <c r="E17" s="35">
        <f t="shared" si="1"/>
        <v>3877.49841640468</v>
      </c>
      <c r="F17" s="35">
        <f t="shared" si="1"/>
        <v>5888.71961132668</v>
      </c>
      <c r="G17" s="35">
        <f t="shared" si="1"/>
        <v>8086.47818378308</v>
      </c>
      <c r="H17" s="35">
        <f t="shared" si="1"/>
        <v>9609.54730203075</v>
      </c>
      <c r="I17" s="35">
        <f t="shared" si="1"/>
        <v>11401.230243928</v>
      </c>
      <c r="J17" s="35">
        <f t="shared" si="1"/>
        <v>13515.2497742046</v>
      </c>
      <c r="K17" s="35">
        <f t="shared" si="1"/>
        <v>16016.0732105366</v>
      </c>
      <c r="L17" s="35">
        <f t="shared" si="1"/>
        <v>18801.061334135</v>
      </c>
    </row>
    <row r="18" ht="16.35" spans="1:12">
      <c r="A18" s="54">
        <v>4</v>
      </c>
      <c r="B18" s="55" t="s">
        <v>125</v>
      </c>
      <c r="C18" s="56">
        <f>C17</f>
        <v>-11771.25</v>
      </c>
      <c r="D18" s="56">
        <f>D17+C18</f>
        <v>-24262.5</v>
      </c>
      <c r="E18" s="56">
        <f t="shared" ref="E18:L18" si="2">E17+D18</f>
        <v>-20385.0015835953</v>
      </c>
      <c r="F18" s="56">
        <f t="shared" si="2"/>
        <v>-14496.2819722686</v>
      </c>
      <c r="G18" s="56">
        <f t="shared" si="2"/>
        <v>-6409.80378848556</v>
      </c>
      <c r="H18" s="35">
        <f t="shared" si="2"/>
        <v>3199.7435135452</v>
      </c>
      <c r="I18" s="35">
        <f t="shared" si="2"/>
        <v>14600.9737574732</v>
      </c>
      <c r="J18" s="35">
        <f t="shared" si="2"/>
        <v>28116.2235316778</v>
      </c>
      <c r="K18" s="35">
        <f t="shared" si="2"/>
        <v>44132.2967422144</v>
      </c>
      <c r="L18" s="35">
        <f t="shared" si="2"/>
        <v>62933.3580763494</v>
      </c>
    </row>
    <row r="19" ht="16.35" spans="1:12">
      <c r="A19" s="57"/>
      <c r="B19" s="58" t="s">
        <v>126</v>
      </c>
      <c r="C19" s="59">
        <f>5-G18/H17</f>
        <v>5.66702453164792</v>
      </c>
      <c r="D19" s="28"/>
      <c r="E19" s="58" t="s">
        <v>127</v>
      </c>
      <c r="F19" s="58"/>
      <c r="G19" s="57"/>
      <c r="H19" s="60"/>
      <c r="I19" s="60"/>
      <c r="J19" s="60"/>
      <c r="K19" s="60"/>
      <c r="L19" s="60"/>
    </row>
    <row r="20" ht="25.95" spans="1:12">
      <c r="A20" s="61" t="s">
        <v>128</v>
      </c>
      <c r="B20" s="61" t="s">
        <v>129</v>
      </c>
      <c r="C20" s="62">
        <f>IRR(C17:L17)</f>
        <v>0.263923819490272</v>
      </c>
      <c r="D20" s="28"/>
      <c r="E20" s="63" t="s">
        <v>130</v>
      </c>
      <c r="F20" s="57"/>
      <c r="G20" s="60"/>
      <c r="H20" s="60"/>
      <c r="I20" s="60"/>
      <c r="J20" s="60"/>
      <c r="K20" s="60"/>
      <c r="L20" s="60"/>
    </row>
    <row r="21" ht="25.95" spans="1:12">
      <c r="A21" s="61" t="s">
        <v>131</v>
      </c>
      <c r="B21" s="64" t="s">
        <v>132</v>
      </c>
      <c r="C21" s="65">
        <f>NPV(10%,C17:L17)</f>
        <v>22552.8180317599</v>
      </c>
      <c r="D21" s="28"/>
      <c r="E21" s="66" t="s">
        <v>105</v>
      </c>
      <c r="F21" s="57"/>
      <c r="G21" s="60"/>
      <c r="H21" s="60"/>
      <c r="I21" s="60"/>
      <c r="J21" s="60"/>
      <c r="K21" s="60"/>
      <c r="L21" s="60"/>
    </row>
  </sheetData>
  <mergeCells count="12">
    <mergeCell ref="A3:A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:L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J22" sqref="J22"/>
    </sheetView>
  </sheetViews>
  <sheetFormatPr defaultColWidth="9" defaultRowHeight="14.4"/>
  <cols>
    <col min="1" max="1" width="6.44444444444444" customWidth="1"/>
    <col min="2" max="2" width="21.4444444444444" customWidth="1"/>
    <col min="3" max="3" width="6.33333333333333" customWidth="1"/>
    <col min="4" max="4" width="5.66666666666667" customWidth="1"/>
    <col min="5" max="12" width="12.8888888888889" customWidth="1"/>
  </cols>
  <sheetData>
    <row r="1" ht="15" customHeight="1" spans="1:12">
      <c r="A1" s="38" t="s">
        <v>133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ht="15.15" spans="1:12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</row>
    <row r="3" ht="16.35" spans="1:12">
      <c r="A3" s="39" t="s">
        <v>2</v>
      </c>
      <c r="B3" s="40" t="s">
        <v>134</v>
      </c>
      <c r="C3" s="41">
        <v>1</v>
      </c>
      <c r="D3" s="41">
        <v>2</v>
      </c>
      <c r="E3" s="41">
        <v>3</v>
      </c>
      <c r="F3" s="41">
        <v>4</v>
      </c>
      <c r="G3" s="41">
        <v>5</v>
      </c>
      <c r="H3" s="41">
        <v>6</v>
      </c>
      <c r="I3" s="41">
        <v>7</v>
      </c>
      <c r="J3" s="41">
        <v>8</v>
      </c>
      <c r="K3" s="41">
        <v>9</v>
      </c>
      <c r="L3" s="41">
        <v>10</v>
      </c>
    </row>
    <row r="4" ht="16.35" spans="1:12">
      <c r="A4" s="42">
        <v>1</v>
      </c>
      <c r="B4" s="43" t="s">
        <v>135</v>
      </c>
      <c r="C4" s="44"/>
      <c r="D4" s="44"/>
      <c r="E4" s="45">
        <f>项目销售收入及销售税金估算表!G4</f>
        <v>16570.83096</v>
      </c>
      <c r="F4" s="45">
        <f>项目销售收入及销售税金估算表!H4</f>
        <v>22561.813752</v>
      </c>
      <c r="G4" s="45">
        <f>项目销售收入及销售税金估算表!I4</f>
        <v>28858.7209024</v>
      </c>
      <c r="H4" s="45">
        <f>项目销售收入及销售税金估算表!J4</f>
        <v>31061.37628288</v>
      </c>
      <c r="I4" s="45">
        <f>项目销售收入及销售税金估算表!K4</f>
        <v>33704.562739456</v>
      </c>
      <c r="J4" s="45">
        <f>项目销售收入及销售税金估算表!L4</f>
        <v>36876.3864873472</v>
      </c>
      <c r="K4" s="45">
        <f>项目销售收入及销售税金估算表!M4</f>
        <v>40682.5749848166</v>
      </c>
      <c r="L4" s="45">
        <f>项目销售收入及销售税金估算表!N4</f>
        <v>45250.00118178</v>
      </c>
    </row>
    <row r="5" ht="16.35" spans="1:12">
      <c r="A5" s="42">
        <v>2</v>
      </c>
      <c r="B5" s="43" t="s">
        <v>136</v>
      </c>
      <c r="C5" s="44"/>
      <c r="D5" s="44"/>
      <c r="E5" s="45">
        <f>(项目销售收入及销售税金估算表!G16+项目销售收入及销售税金估算表!G17)</f>
        <v>1801.2062632</v>
      </c>
      <c r="F5" s="45">
        <f>(项目销售收入及销售税金估算表!H16+项目销售收入及销售税金估算表!H17)</f>
        <v>2311.75583784</v>
      </c>
      <c r="G5" s="45">
        <f>(项目销售收入及销售税金估算表!I16+项目销售收入及销售税金估算表!I17)</f>
        <v>2874.312553408</v>
      </c>
      <c r="H5" s="45">
        <f>(项目销售收入及销售税金估算表!J16+项目销售收入及销售税金估算表!J17)</f>
        <v>3248.7639680896</v>
      </c>
      <c r="I5" s="45">
        <f>(项目销售收入及销售税金估算表!K16+项目销售收入及销售税金估算表!K17)</f>
        <v>3698.10566570752</v>
      </c>
      <c r="J5" s="45">
        <f>(项目销售收入及销售税金估算表!L16+项目销售收入及销售税金估算表!L17)</f>
        <v>4237.31570284902</v>
      </c>
      <c r="K5" s="45">
        <f>(项目销售收入及销售税金估算表!M16+项目销售收入及销售税金估算表!M17)</f>
        <v>4884.36774741883</v>
      </c>
      <c r="L5" s="45">
        <f>(项目销售收入及销售税金估算表!N16+项目销售收入及销售税金估算表!N17)</f>
        <v>5660.83020090259</v>
      </c>
    </row>
    <row r="6" ht="16.35" spans="1:12">
      <c r="A6" s="42">
        <v>3</v>
      </c>
      <c r="B6" s="43" t="s">
        <v>137</v>
      </c>
      <c r="C6" s="44"/>
      <c r="D6" s="44"/>
      <c r="E6" s="45">
        <f>项目销售收入及销售税金估算表!G18</f>
        <v>180.12062632</v>
      </c>
      <c r="F6" s="45">
        <f>项目销售收入及销售税金估算表!H18</f>
        <v>231.175583784</v>
      </c>
      <c r="G6" s="45">
        <f>项目销售收入及销售税金估算表!I18</f>
        <v>287.4312553408</v>
      </c>
      <c r="H6" s="45">
        <f>项目销售收入及销售税金估算表!J18</f>
        <v>324.87639680896</v>
      </c>
      <c r="I6" s="45">
        <f>项目销售收入及销售税金估算表!K18</f>
        <v>369.810566570752</v>
      </c>
      <c r="J6" s="45">
        <f>项目销售收入及销售税金估算表!L18</f>
        <v>423.731570284902</v>
      </c>
      <c r="K6" s="45">
        <f>项目销售收入及销售税金估算表!M18</f>
        <v>488.436774741883</v>
      </c>
      <c r="L6" s="45">
        <f>项目销售收入及销售税金估算表!N18</f>
        <v>566.083020090259</v>
      </c>
    </row>
    <row r="7" ht="16.35" spans="1:12">
      <c r="A7" s="42">
        <v>4</v>
      </c>
      <c r="B7" s="43" t="s">
        <v>138</v>
      </c>
      <c r="C7" s="44"/>
      <c r="D7" s="46"/>
      <c r="E7" s="45">
        <f>'项目所得税前投资财务现金流量表 '!E13</f>
        <v>9419.50618194043</v>
      </c>
      <c r="F7" s="45">
        <f>'项目所得税前投资财务现金流量表 '!F13</f>
        <v>12167.2561819404</v>
      </c>
      <c r="G7" s="45">
        <f>'项目所得税前投资财务现金流量表 '!G13</f>
        <v>14915.0061819404</v>
      </c>
      <c r="H7" s="45">
        <f>'项目所得税前投资财务现金流量表 '!H13</f>
        <v>14675.0061819404</v>
      </c>
      <c r="I7" s="45">
        <f>'项目所得税前投资财务现金流量表 '!I13</f>
        <v>14435.0061819404</v>
      </c>
      <c r="J7" s="45">
        <f>'项目所得税前投资财务现金流量表 '!J13</f>
        <v>14195.0061819404</v>
      </c>
      <c r="K7" s="45">
        <f>'项目所得税前投资财务现金流量表 '!K13</f>
        <v>13955.0061819404</v>
      </c>
      <c r="L7" s="45">
        <f>'项目所得税前投资财务现金流量表 '!L13</f>
        <v>13955.0061819404</v>
      </c>
    </row>
    <row r="8" ht="16.35" spans="1:12">
      <c r="A8" s="42">
        <v>5</v>
      </c>
      <c r="B8" s="43" t="s">
        <v>139</v>
      </c>
      <c r="C8" s="44"/>
      <c r="D8" s="46"/>
      <c r="E8" s="45">
        <f t="shared" ref="E8:M8" si="0">E4-E5-E6-E7</f>
        <v>5169.99788853957</v>
      </c>
      <c r="F8" s="45">
        <f t="shared" si="0"/>
        <v>7851.62614843558</v>
      </c>
      <c r="G8" s="45">
        <f t="shared" si="0"/>
        <v>10781.9709117108</v>
      </c>
      <c r="H8" s="45">
        <f t="shared" si="0"/>
        <v>12812.729736041</v>
      </c>
      <c r="I8" s="45">
        <f t="shared" si="0"/>
        <v>15201.6403252373</v>
      </c>
      <c r="J8" s="45">
        <f t="shared" si="0"/>
        <v>18020.3330322728</v>
      </c>
      <c r="K8" s="45">
        <f t="shared" si="0"/>
        <v>21354.7642807155</v>
      </c>
      <c r="L8" s="45">
        <f t="shared" si="0"/>
        <v>25068.0817788467</v>
      </c>
    </row>
    <row r="9" ht="16.35" spans="1:12">
      <c r="A9" s="42">
        <v>6</v>
      </c>
      <c r="B9" s="43" t="s">
        <v>140</v>
      </c>
      <c r="C9" s="44"/>
      <c r="D9" s="46"/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</row>
    <row r="10" ht="16.35" spans="1:12">
      <c r="A10" s="42">
        <v>7</v>
      </c>
      <c r="B10" s="43" t="s">
        <v>141</v>
      </c>
      <c r="C10" s="44"/>
      <c r="D10" s="46"/>
      <c r="E10" s="45">
        <f t="shared" ref="E10:M10" si="1">E8</f>
        <v>5169.99788853957</v>
      </c>
      <c r="F10" s="45">
        <f t="shared" si="1"/>
        <v>7851.62614843558</v>
      </c>
      <c r="G10" s="45">
        <f t="shared" si="1"/>
        <v>10781.9709117108</v>
      </c>
      <c r="H10" s="45">
        <f t="shared" si="1"/>
        <v>12812.729736041</v>
      </c>
      <c r="I10" s="45">
        <f t="shared" si="1"/>
        <v>15201.6403252373</v>
      </c>
      <c r="J10" s="45">
        <f t="shared" si="1"/>
        <v>18020.3330322728</v>
      </c>
      <c r="K10" s="45">
        <f t="shared" si="1"/>
        <v>21354.7642807155</v>
      </c>
      <c r="L10" s="45">
        <f t="shared" si="1"/>
        <v>25068.0817788467</v>
      </c>
    </row>
    <row r="11" ht="16.35" spans="1:12">
      <c r="A11" s="42">
        <v>8</v>
      </c>
      <c r="B11" s="43" t="s">
        <v>123</v>
      </c>
      <c r="C11" s="44"/>
      <c r="D11" s="46"/>
      <c r="E11" s="45">
        <f t="shared" ref="E11:M11" si="2">E10*0.25</f>
        <v>1292.49947213489</v>
      </c>
      <c r="F11" s="45">
        <f t="shared" si="2"/>
        <v>1962.90653710889</v>
      </c>
      <c r="G11" s="45">
        <f t="shared" si="2"/>
        <v>2695.49272792769</v>
      </c>
      <c r="H11" s="45">
        <f t="shared" si="2"/>
        <v>3203.18243401025</v>
      </c>
      <c r="I11" s="45">
        <f t="shared" si="2"/>
        <v>3800.41008130933</v>
      </c>
      <c r="J11" s="45">
        <f t="shared" si="2"/>
        <v>4505.08325806821</v>
      </c>
      <c r="K11" s="45">
        <f t="shared" si="2"/>
        <v>5338.69107017887</v>
      </c>
      <c r="L11" s="45">
        <f t="shared" si="2"/>
        <v>6267.02044471167</v>
      </c>
    </row>
    <row r="12" ht="16.35" spans="1:12">
      <c r="A12" s="42">
        <v>9</v>
      </c>
      <c r="B12" s="47" t="s">
        <v>142</v>
      </c>
      <c r="C12" s="48"/>
      <c r="D12" s="49"/>
      <c r="E12" s="50">
        <f t="shared" ref="E12:M12" si="3">E10-E11</f>
        <v>3877.49841640468</v>
      </c>
      <c r="F12" s="50">
        <f t="shared" si="3"/>
        <v>5888.71961132668</v>
      </c>
      <c r="G12" s="50">
        <f t="shared" si="3"/>
        <v>8086.47818378308</v>
      </c>
      <c r="H12" s="50">
        <f t="shared" si="3"/>
        <v>9609.54730203076</v>
      </c>
      <c r="I12" s="50">
        <f t="shared" si="3"/>
        <v>11401.230243928</v>
      </c>
      <c r="J12" s="50">
        <f t="shared" si="3"/>
        <v>13515.2497742046</v>
      </c>
      <c r="K12" s="50">
        <f t="shared" si="3"/>
        <v>16016.0732105366</v>
      </c>
      <c r="L12" s="50">
        <f t="shared" si="3"/>
        <v>18801.061334135</v>
      </c>
    </row>
    <row r="13" ht="16.35" spans="1:12">
      <c r="A13" s="42">
        <v>10</v>
      </c>
      <c r="B13" s="43" t="s">
        <v>143</v>
      </c>
      <c r="C13" s="44"/>
      <c r="D13" s="46"/>
      <c r="E13" s="45">
        <f t="shared" ref="E13:M13" si="4">E12*0.15</f>
        <v>581.624762460702</v>
      </c>
      <c r="F13" s="45">
        <f t="shared" si="4"/>
        <v>883.307941699003</v>
      </c>
      <c r="G13" s="45">
        <f t="shared" si="4"/>
        <v>1212.97172756746</v>
      </c>
      <c r="H13" s="45">
        <f t="shared" si="4"/>
        <v>1441.43209530461</v>
      </c>
      <c r="I13" s="45">
        <f t="shared" si="4"/>
        <v>1710.1845365892</v>
      </c>
      <c r="J13" s="45">
        <f t="shared" si="4"/>
        <v>2027.2874661307</v>
      </c>
      <c r="K13" s="45">
        <f t="shared" si="4"/>
        <v>2402.41098158049</v>
      </c>
      <c r="L13" s="45">
        <f t="shared" si="4"/>
        <v>2820.15920012025</v>
      </c>
    </row>
    <row r="14" ht="16.35" spans="1:12">
      <c r="A14" s="42">
        <v>11</v>
      </c>
      <c r="B14" s="43" t="s">
        <v>144</v>
      </c>
      <c r="C14" s="44"/>
      <c r="D14" s="46"/>
      <c r="E14" s="45">
        <f t="shared" ref="E14:M14" si="5">E12-E13</f>
        <v>3295.87365394398</v>
      </c>
      <c r="F14" s="45">
        <f t="shared" si="5"/>
        <v>5005.41166962768</v>
      </c>
      <c r="G14" s="45">
        <f t="shared" si="5"/>
        <v>6873.50645621562</v>
      </c>
      <c r="H14" s="45">
        <f t="shared" si="5"/>
        <v>8168.11520672614</v>
      </c>
      <c r="I14" s="45">
        <f t="shared" si="5"/>
        <v>9691.04570733878</v>
      </c>
      <c r="J14" s="45">
        <f t="shared" si="5"/>
        <v>11487.9623080739</v>
      </c>
      <c r="K14" s="45">
        <f t="shared" si="5"/>
        <v>13613.6622289561</v>
      </c>
      <c r="L14" s="45">
        <f t="shared" si="5"/>
        <v>15980.9021340148</v>
      </c>
    </row>
    <row r="15" ht="16.35" spans="1:12">
      <c r="A15" s="42">
        <v>12</v>
      </c>
      <c r="B15" s="43" t="s">
        <v>145</v>
      </c>
      <c r="C15" s="44"/>
      <c r="D15" s="46"/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</row>
    <row r="16" ht="16.35" spans="1:12">
      <c r="A16" s="42">
        <v>13</v>
      </c>
      <c r="B16" s="43" t="s">
        <v>146</v>
      </c>
      <c r="C16" s="44"/>
      <c r="D16" s="46"/>
      <c r="E16" s="45">
        <f t="shared" ref="E16:M16" si="6">E14</f>
        <v>3295.87365394398</v>
      </c>
      <c r="F16" s="45">
        <f t="shared" si="6"/>
        <v>5005.41166962768</v>
      </c>
      <c r="G16" s="45">
        <f t="shared" si="6"/>
        <v>6873.50645621562</v>
      </c>
      <c r="H16" s="45">
        <f t="shared" si="6"/>
        <v>8168.11520672614</v>
      </c>
      <c r="I16" s="45">
        <f t="shared" si="6"/>
        <v>9691.04570733878</v>
      </c>
      <c r="J16" s="45">
        <f t="shared" si="6"/>
        <v>11487.9623080739</v>
      </c>
      <c r="K16" s="45">
        <f t="shared" si="6"/>
        <v>13613.6622289561</v>
      </c>
      <c r="L16" s="45">
        <f t="shared" si="6"/>
        <v>15980.9021340148</v>
      </c>
    </row>
    <row r="17" ht="16.35" spans="1:12">
      <c r="A17" s="42">
        <v>14</v>
      </c>
      <c r="B17" s="43" t="s">
        <v>147</v>
      </c>
      <c r="C17" s="44"/>
      <c r="D17" s="46"/>
      <c r="E17" s="45">
        <f>E16+D17</f>
        <v>3295.87365394398</v>
      </c>
      <c r="F17" s="45">
        <v>4877.4</v>
      </c>
      <c r="G17" s="45">
        <v>8312.1</v>
      </c>
      <c r="H17" s="45">
        <v>11825.5</v>
      </c>
      <c r="I17" s="45">
        <v>15437.3</v>
      </c>
      <c r="J17" s="45">
        <v>19147.5</v>
      </c>
      <c r="K17" s="45">
        <v>22857.7</v>
      </c>
      <c r="L17" s="45">
        <v>26567.8</v>
      </c>
    </row>
  </sheetData>
  <mergeCells count="1">
    <mergeCell ref="A1:L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J22" sqref="J22"/>
    </sheetView>
  </sheetViews>
  <sheetFormatPr defaultColWidth="9" defaultRowHeight="14.4"/>
  <cols>
    <col min="1" max="1" width="9" style="19"/>
    <col min="2" max="2" width="12.25" customWidth="1"/>
    <col min="4" max="5" width="9.62962962962963"/>
    <col min="6" max="6" width="12.6296296296296"/>
    <col min="7" max="12" width="9.62962962962963"/>
    <col min="14" max="14" width="12.6296296296296"/>
  </cols>
  <sheetData>
    <row r="1" ht="16.5" customHeight="1" spans="1:12">
      <c r="A1" s="21" t="s">
        <v>148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ht="15.15" spans="1:12">
      <c r="A2" s="23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</row>
    <row r="3" ht="15.15" spans="1:12">
      <c r="A3" s="24" t="s">
        <v>2</v>
      </c>
      <c r="B3" s="25" t="s">
        <v>149</v>
      </c>
      <c r="C3" s="26">
        <v>1</v>
      </c>
      <c r="D3" s="27">
        <v>2</v>
      </c>
      <c r="E3" s="27">
        <v>3</v>
      </c>
      <c r="F3" s="27">
        <v>4</v>
      </c>
      <c r="G3" s="27">
        <v>5</v>
      </c>
      <c r="H3" s="27">
        <v>6</v>
      </c>
      <c r="I3" s="27">
        <v>7</v>
      </c>
      <c r="J3" s="27">
        <v>8</v>
      </c>
      <c r="K3" s="27">
        <v>9</v>
      </c>
      <c r="L3" s="27">
        <v>10</v>
      </c>
    </row>
    <row r="4" ht="24.75" spans="1:12">
      <c r="A4" s="28">
        <v>1</v>
      </c>
      <c r="B4" s="29" t="s">
        <v>150</v>
      </c>
      <c r="C4" s="30">
        <v>0</v>
      </c>
      <c r="D4" s="31"/>
      <c r="E4" s="31">
        <f>'项目原材料及动力消耗费用估算表 '!I7</f>
        <v>5975.5</v>
      </c>
      <c r="F4" s="31">
        <f>'项目原材料及动力消耗费用估算表 '!J7</f>
        <v>8963.25</v>
      </c>
      <c r="G4" s="31">
        <f>'项目原材料及动力消耗费用估算表 '!K7</f>
        <v>11951</v>
      </c>
      <c r="H4" s="31">
        <f>'项目原材料及动力消耗费用估算表 '!L7</f>
        <v>11951</v>
      </c>
      <c r="I4" s="31">
        <f>'项目原材料及动力消耗费用估算表 '!M7</f>
        <v>11951</v>
      </c>
      <c r="J4" s="31">
        <f>'项目原材料及动力消耗费用估算表 '!N7</f>
        <v>11951</v>
      </c>
      <c r="K4" s="31">
        <f>'项目原材料及动力消耗费用估算表 '!O7</f>
        <v>11951</v>
      </c>
      <c r="L4" s="31">
        <f>'项目原材料及动力消耗费用估算表 '!P7</f>
        <v>11951</v>
      </c>
    </row>
    <row r="5" ht="15.15" spans="1:12">
      <c r="A5" s="32">
        <v>2</v>
      </c>
      <c r="B5" s="33" t="s">
        <v>151</v>
      </c>
      <c r="C5" s="26">
        <v>0</v>
      </c>
      <c r="D5" s="30"/>
      <c r="E5" s="30">
        <v>300</v>
      </c>
      <c r="F5" s="30">
        <f>E5</f>
        <v>300</v>
      </c>
      <c r="G5" s="30">
        <f t="shared" ref="G5:M5" si="0">F5</f>
        <v>300</v>
      </c>
      <c r="H5" s="30">
        <f t="shared" si="0"/>
        <v>300</v>
      </c>
      <c r="I5" s="30">
        <f t="shared" si="0"/>
        <v>300</v>
      </c>
      <c r="J5" s="30">
        <f t="shared" si="0"/>
        <v>300</v>
      </c>
      <c r="K5" s="30">
        <f t="shared" si="0"/>
        <v>300</v>
      </c>
      <c r="L5" s="30">
        <f t="shared" si="0"/>
        <v>300</v>
      </c>
    </row>
    <row r="6" ht="15.15" spans="1:12">
      <c r="A6" s="32">
        <v>2.1</v>
      </c>
      <c r="B6" s="34" t="s">
        <v>57</v>
      </c>
      <c r="C6" s="26">
        <v>0</v>
      </c>
      <c r="D6" s="35"/>
      <c r="E6" s="35">
        <f>'项目总折旧摊销表   '!G6+'项目总折旧摊销表   '!G10</f>
        <v>790.833333333333</v>
      </c>
      <c r="F6" s="35">
        <f>'项目总折旧摊销表   '!H6+'项目总折旧摊销表   '!H10</f>
        <v>790.833333333333</v>
      </c>
      <c r="G6" s="35">
        <f>'项目总折旧摊销表   '!I6+'项目总折旧摊销表   '!I10</f>
        <v>790.833333333333</v>
      </c>
      <c r="H6" s="35">
        <f>'项目总折旧摊销表   '!J6+'项目总折旧摊销表   '!J10</f>
        <v>790.833333333333</v>
      </c>
      <c r="I6" s="35">
        <f>'项目总折旧摊销表   '!K6+'项目总折旧摊销表   '!K10</f>
        <v>790.833333333333</v>
      </c>
      <c r="J6" s="35">
        <f>'项目总折旧摊销表   '!L6+'项目总折旧摊销表   '!L10</f>
        <v>790.833333333333</v>
      </c>
      <c r="K6" s="35">
        <f>'项目总折旧摊销表   '!M6+'项目总折旧摊销表   '!M10</f>
        <v>790.833333333333</v>
      </c>
      <c r="L6" s="35">
        <f>'项目总折旧摊销表   '!N6+'项目总折旧摊销表   '!N10</f>
        <v>790.833333333333</v>
      </c>
    </row>
    <row r="7" ht="15.15" spans="1:12">
      <c r="A7" s="32">
        <v>2.2</v>
      </c>
      <c r="B7" s="34" t="s">
        <v>152</v>
      </c>
      <c r="C7" s="26">
        <v>0</v>
      </c>
      <c r="D7" s="35"/>
      <c r="E7" s="35">
        <f>投资估算表!$G$4*0.03</f>
        <v>576</v>
      </c>
      <c r="F7" s="35">
        <f>投资估算表!$G$4*0.03</f>
        <v>576</v>
      </c>
      <c r="G7" s="35">
        <f>投资估算表!$G$4*0.03</f>
        <v>576</v>
      </c>
      <c r="H7" s="35">
        <f>投资估算表!$G$4*0.03</f>
        <v>576</v>
      </c>
      <c r="I7" s="35">
        <f>投资估算表!$G$4*0.03</f>
        <v>576</v>
      </c>
      <c r="J7" s="35">
        <f>投资估算表!$G$4*0.03</f>
        <v>576</v>
      </c>
      <c r="K7" s="35">
        <f>投资估算表!$G$4*0.03</f>
        <v>576</v>
      </c>
      <c r="L7" s="35">
        <f>投资估算表!$G$4*0.03</f>
        <v>576</v>
      </c>
    </row>
    <row r="8" ht="15.15" spans="1:12">
      <c r="A8" s="32">
        <v>3</v>
      </c>
      <c r="B8" s="36" t="s">
        <v>153</v>
      </c>
      <c r="C8" s="26"/>
      <c r="D8" s="35"/>
      <c r="E8" s="35">
        <f>'项目原材料及动力消耗费用估算表 '!I26</f>
        <v>10</v>
      </c>
      <c r="F8" s="35">
        <f>'项目原材料及动力消耗费用估算表 '!J26</f>
        <v>10</v>
      </c>
      <c r="G8" s="35">
        <f>'项目原材料及动力消耗费用估算表 '!K26</f>
        <v>10</v>
      </c>
      <c r="H8" s="35">
        <f>'项目原材料及动力消耗费用估算表 '!L26</f>
        <v>10</v>
      </c>
      <c r="I8" s="35">
        <f>'项目原材料及动力消耗费用估算表 '!M26</f>
        <v>10</v>
      </c>
      <c r="J8" s="35">
        <f>'项目原材料及动力消耗费用估算表 '!N26</f>
        <v>10</v>
      </c>
      <c r="K8" s="35">
        <f>'项目原材料及动力消耗费用估算表 '!O26</f>
        <v>10</v>
      </c>
      <c r="L8" s="35">
        <f>'项目原材料及动力消耗费用估算表 '!P26</f>
        <v>10</v>
      </c>
    </row>
    <row r="9" ht="15.15" spans="1:12">
      <c r="A9" s="32">
        <v>4</v>
      </c>
      <c r="B9" s="34" t="s">
        <v>154</v>
      </c>
      <c r="C9" s="26">
        <v>0</v>
      </c>
      <c r="D9" s="35"/>
      <c r="E9" s="35">
        <f>项目销售收入及销售税金估算表!G4*0.01</f>
        <v>165.7083096</v>
      </c>
      <c r="F9" s="35">
        <f>E9</f>
        <v>165.7083096</v>
      </c>
      <c r="G9" s="35">
        <f t="shared" ref="G9:L9" si="1">F9</f>
        <v>165.7083096</v>
      </c>
      <c r="H9" s="35">
        <f t="shared" si="1"/>
        <v>165.7083096</v>
      </c>
      <c r="I9" s="35">
        <f t="shared" si="1"/>
        <v>165.7083096</v>
      </c>
      <c r="J9" s="35">
        <f t="shared" si="1"/>
        <v>165.7083096</v>
      </c>
      <c r="K9" s="35">
        <f t="shared" si="1"/>
        <v>165.7083096</v>
      </c>
      <c r="L9" s="35">
        <f t="shared" si="1"/>
        <v>165.7083096</v>
      </c>
    </row>
    <row r="10" ht="15.15" spans="1:12">
      <c r="A10" s="32">
        <v>5</v>
      </c>
      <c r="B10" s="34" t="s">
        <v>155</v>
      </c>
      <c r="C10" s="26">
        <v>0</v>
      </c>
      <c r="D10" s="35"/>
      <c r="E10" s="35">
        <v>1500</v>
      </c>
      <c r="F10" s="35">
        <f>E10</f>
        <v>1500</v>
      </c>
      <c r="G10" s="35">
        <f t="shared" ref="G10:L10" si="2">F10</f>
        <v>1500</v>
      </c>
      <c r="H10" s="35">
        <f t="shared" si="2"/>
        <v>1500</v>
      </c>
      <c r="I10" s="35">
        <f t="shared" si="2"/>
        <v>1500</v>
      </c>
      <c r="J10" s="35">
        <f t="shared" si="2"/>
        <v>1500</v>
      </c>
      <c r="K10" s="35">
        <f t="shared" si="2"/>
        <v>1500</v>
      </c>
      <c r="L10" s="35">
        <f t="shared" si="2"/>
        <v>1500</v>
      </c>
    </row>
    <row r="11" ht="15.15" spans="1:15">
      <c r="A11" s="32">
        <v>6</v>
      </c>
      <c r="B11" s="34" t="s">
        <v>156</v>
      </c>
      <c r="C11" s="26">
        <v>0</v>
      </c>
      <c r="D11" s="35"/>
      <c r="E11" s="35">
        <f>'项目总折旧摊销表   '!E14</f>
        <v>38.2978723404255</v>
      </c>
      <c r="F11" s="35">
        <f>'项目总折旧摊销表   '!F14</f>
        <v>38.2978723404255</v>
      </c>
      <c r="G11" s="35">
        <f>'项目总折旧摊销表   '!G14</f>
        <v>38.2978723404255</v>
      </c>
      <c r="H11" s="35">
        <f>'项目总折旧摊销表   '!H14</f>
        <v>38.2978723404255</v>
      </c>
      <c r="I11" s="35">
        <f>'项目总折旧摊销表   '!I14</f>
        <v>38.2978723404255</v>
      </c>
      <c r="J11" s="35">
        <f>'项目总折旧摊销表   '!J14</f>
        <v>38.2978723404255</v>
      </c>
      <c r="K11" s="35">
        <f>'项目总折旧摊销表   '!K14</f>
        <v>38.2978723404255</v>
      </c>
      <c r="L11" s="35">
        <f>'项目总折旧摊销表   '!L14</f>
        <v>38.2978723404255</v>
      </c>
      <c r="O11">
        <f>1440/6</f>
        <v>240</v>
      </c>
    </row>
    <row r="12" ht="15.15" spans="1:12">
      <c r="A12" s="32">
        <v>7</v>
      </c>
      <c r="B12" s="34" t="s">
        <v>157</v>
      </c>
      <c r="C12" s="26">
        <v>0</v>
      </c>
      <c r="D12" s="26"/>
      <c r="E12" s="26">
        <v>1440</v>
      </c>
      <c r="F12" s="26">
        <f>E12-240</f>
        <v>1200</v>
      </c>
      <c r="G12" s="26">
        <f t="shared" ref="G12:L12" si="3">F12-240</f>
        <v>960</v>
      </c>
      <c r="H12" s="26">
        <f t="shared" si="3"/>
        <v>720</v>
      </c>
      <c r="I12" s="26">
        <f t="shared" si="3"/>
        <v>480</v>
      </c>
      <c r="J12" s="26">
        <f t="shared" si="3"/>
        <v>240</v>
      </c>
      <c r="K12" s="26">
        <f t="shared" si="3"/>
        <v>0</v>
      </c>
      <c r="L12" s="26">
        <v>0</v>
      </c>
    </row>
    <row r="13" ht="15.15" spans="1:12">
      <c r="A13" s="32">
        <v>8</v>
      </c>
      <c r="B13" s="33" t="s">
        <v>158</v>
      </c>
      <c r="C13" s="30">
        <v>0</v>
      </c>
      <c r="D13" s="31"/>
      <c r="E13" s="31">
        <f>E5+E4+E9+E10+E11+E12</f>
        <v>9419.50618194043</v>
      </c>
      <c r="F13" s="31">
        <f t="shared" ref="F13:L13" si="4">F5+F4+F9+F10+F11+F12</f>
        <v>12167.2561819404</v>
      </c>
      <c r="G13" s="31">
        <f t="shared" si="4"/>
        <v>14915.0061819404</v>
      </c>
      <c r="H13" s="31">
        <f t="shared" si="4"/>
        <v>14675.0061819404</v>
      </c>
      <c r="I13" s="31">
        <f t="shared" si="4"/>
        <v>14435.0061819404</v>
      </c>
      <c r="J13" s="31">
        <f t="shared" si="4"/>
        <v>14195.0061819404</v>
      </c>
      <c r="K13" s="31">
        <f t="shared" si="4"/>
        <v>13955.0061819404</v>
      </c>
      <c r="L13" s="31">
        <f t="shared" si="4"/>
        <v>13955.0061819404</v>
      </c>
    </row>
    <row r="14" ht="16.35" spans="1:12">
      <c r="A14" s="37"/>
      <c r="B14" s="34" t="s">
        <v>159</v>
      </c>
      <c r="C14" s="26">
        <v>0</v>
      </c>
      <c r="D14" s="26"/>
      <c r="E14" s="26">
        <v>6245.8</v>
      </c>
      <c r="F14" s="26">
        <v>7115.4</v>
      </c>
      <c r="G14" s="26">
        <v>7712.8</v>
      </c>
      <c r="H14" s="26">
        <v>7589.3</v>
      </c>
      <c r="I14" s="26">
        <v>7435</v>
      </c>
      <c r="J14" s="26">
        <v>7280.6</v>
      </c>
      <c r="K14" s="26">
        <v>7280.6</v>
      </c>
      <c r="L14" s="26">
        <v>7280.6</v>
      </c>
    </row>
    <row r="15" ht="16.35" spans="1:12">
      <c r="A15" s="37"/>
      <c r="B15" s="34" t="s">
        <v>160</v>
      </c>
      <c r="C15" s="26">
        <v>0</v>
      </c>
      <c r="D15" s="26"/>
      <c r="E15" s="26">
        <f t="shared" ref="E15:M15" si="5">E4</f>
        <v>5975.5</v>
      </c>
      <c r="F15" s="26">
        <f t="shared" si="5"/>
        <v>8963.25</v>
      </c>
      <c r="G15" s="26">
        <f t="shared" si="5"/>
        <v>11951</v>
      </c>
      <c r="H15" s="26">
        <f t="shared" si="5"/>
        <v>11951</v>
      </c>
      <c r="I15" s="26">
        <f t="shared" si="5"/>
        <v>11951</v>
      </c>
      <c r="J15" s="26">
        <f t="shared" si="5"/>
        <v>11951</v>
      </c>
      <c r="K15" s="26">
        <f t="shared" si="5"/>
        <v>11951</v>
      </c>
      <c r="L15" s="26">
        <f t="shared" si="5"/>
        <v>11951</v>
      </c>
    </row>
    <row r="16" ht="16.35" spans="1:12">
      <c r="A16" s="37"/>
      <c r="B16" s="34" t="s">
        <v>161</v>
      </c>
      <c r="C16" s="26">
        <v>0</v>
      </c>
      <c r="D16" s="35"/>
      <c r="E16" s="35">
        <f>E4+E5+E7+E9+E10</f>
        <v>8517.2083096</v>
      </c>
      <c r="F16" s="35">
        <f t="shared" ref="F16:L16" si="6">F4+F5+F7+F9+F10</f>
        <v>11504.9583096</v>
      </c>
      <c r="G16" s="35">
        <f t="shared" si="6"/>
        <v>14492.7083096</v>
      </c>
      <c r="H16" s="35">
        <f t="shared" si="6"/>
        <v>14492.7083096</v>
      </c>
      <c r="I16" s="35">
        <f t="shared" si="6"/>
        <v>14492.7083096</v>
      </c>
      <c r="J16" s="35">
        <f t="shared" si="6"/>
        <v>14492.7083096</v>
      </c>
      <c r="K16" s="35">
        <f t="shared" si="6"/>
        <v>14492.7083096</v>
      </c>
      <c r="L16" s="35">
        <f t="shared" si="6"/>
        <v>14492.7083096</v>
      </c>
    </row>
  </sheetData>
  <mergeCells count="1">
    <mergeCell ref="A1:L2"/>
  </mergeCells>
  <pageMargins left="0.75" right="0.75" top="1" bottom="1" header="0.511805555555556" footer="0.511805555555556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J22" sqref="J22"/>
    </sheetView>
  </sheetViews>
  <sheetFormatPr defaultColWidth="8.88888888888889" defaultRowHeight="14.4" outlineLevelCol="7"/>
  <cols>
    <col min="2" max="2" width="19" customWidth="1"/>
    <col min="4" max="5" width="10.6666666666667"/>
    <col min="6" max="6" width="10.1111111111111" customWidth="1"/>
    <col min="7" max="7" width="14.3333333333333" customWidth="1"/>
  </cols>
  <sheetData>
    <row r="1" spans="1:8">
      <c r="A1" s="19" t="s">
        <v>162</v>
      </c>
      <c r="B1" s="19"/>
      <c r="C1" s="19"/>
      <c r="D1" s="19"/>
      <c r="E1" s="19"/>
      <c r="F1" s="19"/>
      <c r="G1" s="19"/>
      <c r="H1" s="19"/>
    </row>
    <row r="2" spans="1:8">
      <c r="A2" s="2" t="s">
        <v>2</v>
      </c>
      <c r="B2" s="2" t="s">
        <v>163</v>
      </c>
      <c r="C2" s="2" t="s">
        <v>64</v>
      </c>
      <c r="D2" s="2" t="s">
        <v>164</v>
      </c>
      <c r="E2" s="2" t="s">
        <v>165</v>
      </c>
      <c r="F2" s="2" t="s">
        <v>166</v>
      </c>
      <c r="G2" s="2" t="s">
        <v>167</v>
      </c>
      <c r="H2" s="2" t="s">
        <v>168</v>
      </c>
    </row>
    <row r="3" spans="1:8">
      <c r="A3" s="9">
        <v>1</v>
      </c>
      <c r="B3" s="9" t="s">
        <v>169</v>
      </c>
      <c r="C3" s="9" t="s">
        <v>170</v>
      </c>
      <c r="D3" s="9">
        <v>300</v>
      </c>
      <c r="E3" s="9">
        <v>50</v>
      </c>
      <c r="F3" s="9">
        <v>80</v>
      </c>
      <c r="G3" s="9">
        <v>480</v>
      </c>
      <c r="H3" s="9" t="s">
        <v>171</v>
      </c>
    </row>
    <row r="4" spans="1:8">
      <c r="A4" s="9">
        <v>2</v>
      </c>
      <c r="B4" s="9" t="s">
        <v>172</v>
      </c>
      <c r="C4" s="9" t="s">
        <v>173</v>
      </c>
      <c r="D4" s="9">
        <v>800</v>
      </c>
      <c r="E4" s="9">
        <v>2000</v>
      </c>
      <c r="F4" s="9"/>
      <c r="G4" s="9"/>
      <c r="H4" s="9"/>
    </row>
    <row r="5" spans="1:8">
      <c r="A5" s="9">
        <v>3</v>
      </c>
      <c r="B5" s="9" t="s">
        <v>174</v>
      </c>
      <c r="C5" s="9" t="s">
        <v>175</v>
      </c>
      <c r="D5" s="9">
        <f>D3*1000*D4/10000</f>
        <v>24000</v>
      </c>
      <c r="E5" s="9">
        <f>E3*1000*E4/10000</f>
        <v>10000</v>
      </c>
      <c r="F5" s="9"/>
      <c r="G5" s="9"/>
      <c r="H5" s="9"/>
    </row>
    <row r="6" spans="1:8">
      <c r="A6" s="9">
        <v>4</v>
      </c>
      <c r="B6" s="9" t="s">
        <v>176</v>
      </c>
      <c r="C6" s="9" t="s">
        <v>105</v>
      </c>
      <c r="D6" s="9">
        <v>234000</v>
      </c>
      <c r="E6" s="9">
        <v>19000</v>
      </c>
      <c r="F6" s="9">
        <v>14400</v>
      </c>
      <c r="G6" s="9">
        <v>15000</v>
      </c>
      <c r="H6" s="9">
        <f t="shared" ref="H6:H8" si="0">SUM(D6:G6)</f>
        <v>282400</v>
      </c>
    </row>
    <row r="7" spans="1:8">
      <c r="A7" s="9">
        <v>5</v>
      </c>
      <c r="B7" s="9" t="s">
        <v>48</v>
      </c>
      <c r="C7" s="9" t="s">
        <v>105</v>
      </c>
      <c r="D7" s="9">
        <f t="shared" ref="D7:G7" si="1">D6*0.07*1.5</f>
        <v>24570</v>
      </c>
      <c r="E7" s="9">
        <f t="shared" si="1"/>
        <v>1995</v>
      </c>
      <c r="F7" s="9">
        <f t="shared" si="1"/>
        <v>1512</v>
      </c>
      <c r="G7" s="9">
        <f t="shared" si="1"/>
        <v>1575</v>
      </c>
      <c r="H7" s="9">
        <f t="shared" si="0"/>
        <v>29652</v>
      </c>
    </row>
    <row r="8" spans="1:8">
      <c r="A8" s="9">
        <v>6</v>
      </c>
      <c r="B8" s="9" t="s">
        <v>177</v>
      </c>
      <c r="C8" s="9" t="s">
        <v>105</v>
      </c>
      <c r="D8" s="9">
        <f t="shared" ref="D8:G8" si="2">SUM(D6:D7)</f>
        <v>258570</v>
      </c>
      <c r="E8" s="9">
        <f t="shared" si="2"/>
        <v>20995</v>
      </c>
      <c r="F8" s="9">
        <f t="shared" si="2"/>
        <v>15912</v>
      </c>
      <c r="G8" s="9">
        <f t="shared" si="2"/>
        <v>16575</v>
      </c>
      <c r="H8" s="9">
        <f t="shared" si="0"/>
        <v>312052</v>
      </c>
    </row>
    <row r="9" spans="1:8">
      <c r="A9" s="9">
        <v>7</v>
      </c>
      <c r="B9" s="9" t="s">
        <v>178</v>
      </c>
      <c r="C9" s="9" t="s">
        <v>179</v>
      </c>
      <c r="D9" s="9">
        <f t="shared" ref="D9:G9" si="3">D6/D3/1000*10000</f>
        <v>7800</v>
      </c>
      <c r="E9" s="9">
        <f t="shared" si="3"/>
        <v>3800</v>
      </c>
      <c r="F9" s="9">
        <f t="shared" si="3"/>
        <v>1800</v>
      </c>
      <c r="G9" s="9">
        <f t="shared" si="3"/>
        <v>312.5</v>
      </c>
      <c r="H9" s="9" t="s">
        <v>171</v>
      </c>
    </row>
    <row r="10" spans="1:8">
      <c r="A10" s="9">
        <v>8</v>
      </c>
      <c r="B10" s="9" t="s">
        <v>180</v>
      </c>
      <c r="C10" s="9" t="s">
        <v>179</v>
      </c>
      <c r="D10" s="20">
        <f t="shared" ref="D10:G10" si="4">D8/D3/1000*10000</f>
        <v>8619</v>
      </c>
      <c r="E10" s="20">
        <f t="shared" si="4"/>
        <v>4199</v>
      </c>
      <c r="F10" s="20">
        <f t="shared" si="4"/>
        <v>1989</v>
      </c>
      <c r="G10" s="20">
        <f t="shared" si="4"/>
        <v>345.3125</v>
      </c>
      <c r="H10" s="9" t="s">
        <v>171</v>
      </c>
    </row>
  </sheetData>
  <mergeCells count="1">
    <mergeCell ref="A1:H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20"/>
  <sheetViews>
    <sheetView workbookViewId="0">
      <selection activeCell="J22" sqref="J22"/>
    </sheetView>
  </sheetViews>
  <sheetFormatPr defaultColWidth="8.88888888888889" defaultRowHeight="14.4"/>
  <cols>
    <col min="2" max="2" width="19.7777777777778" customWidth="1"/>
    <col min="3" max="3" width="8.33333333333333" customWidth="1"/>
    <col min="4" max="4" width="9.11111111111111" customWidth="1"/>
    <col min="5" max="5" width="8.11111111111111" customWidth="1"/>
    <col min="6" max="13" width="10.7777777777778"/>
    <col min="14" max="14" width="10.6666666666667" customWidth="1"/>
  </cols>
  <sheetData>
    <row r="2" spans="1:14">
      <c r="A2" s="1" t="s">
        <v>181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A3" s="2" t="s">
        <v>2</v>
      </c>
      <c r="B3" s="2" t="s">
        <v>3</v>
      </c>
      <c r="C3" s="2" t="s">
        <v>64</v>
      </c>
      <c r="D3" s="2">
        <v>2022</v>
      </c>
      <c r="E3" s="2">
        <v>2023</v>
      </c>
      <c r="F3" s="2">
        <v>2024</v>
      </c>
      <c r="G3" s="2">
        <v>2025</v>
      </c>
      <c r="H3" s="2">
        <v>2026</v>
      </c>
      <c r="I3" s="2">
        <v>2027</v>
      </c>
      <c r="J3" s="2">
        <v>2028</v>
      </c>
      <c r="K3" s="2">
        <v>2029</v>
      </c>
      <c r="L3" s="2">
        <v>2030</v>
      </c>
      <c r="M3" s="2">
        <v>2031</v>
      </c>
      <c r="N3" s="2" t="s">
        <v>182</v>
      </c>
    </row>
    <row r="4" spans="1:14">
      <c r="A4" s="3">
        <v>1</v>
      </c>
      <c r="B4" s="4" t="s">
        <v>75</v>
      </c>
      <c r="C4" s="4" t="s">
        <v>175</v>
      </c>
      <c r="D4" s="4"/>
      <c r="E4" s="4"/>
      <c r="F4" s="5">
        <v>5000</v>
      </c>
      <c r="G4" s="5">
        <v>7500</v>
      </c>
      <c r="H4" s="5">
        <v>10000</v>
      </c>
      <c r="I4" s="5">
        <v>10000</v>
      </c>
      <c r="J4" s="5">
        <v>10000</v>
      </c>
      <c r="K4" s="5">
        <v>10000</v>
      </c>
      <c r="L4" s="5">
        <v>10000</v>
      </c>
      <c r="M4" s="5">
        <v>10000</v>
      </c>
      <c r="N4" s="4"/>
    </row>
    <row r="5" spans="1:14">
      <c r="A5" s="6"/>
      <c r="B5" s="4" t="s">
        <v>169</v>
      </c>
      <c r="C5" s="4" t="s">
        <v>170</v>
      </c>
      <c r="D5" s="4"/>
      <c r="E5" s="4"/>
      <c r="F5" s="5">
        <v>50</v>
      </c>
      <c r="G5" s="5">
        <v>50</v>
      </c>
      <c r="H5" s="5">
        <v>50</v>
      </c>
      <c r="I5" s="5">
        <v>50</v>
      </c>
      <c r="J5" s="5">
        <v>50</v>
      </c>
      <c r="K5" s="5">
        <v>50</v>
      </c>
      <c r="L5" s="5">
        <v>50</v>
      </c>
      <c r="M5" s="5">
        <v>50</v>
      </c>
      <c r="N5" s="4"/>
    </row>
    <row r="6" spans="1:14">
      <c r="A6" s="6"/>
      <c r="B6" s="4" t="s">
        <v>183</v>
      </c>
      <c r="C6" s="4" t="s">
        <v>130</v>
      </c>
      <c r="D6" s="4"/>
      <c r="E6" s="4"/>
      <c r="F6" s="7">
        <v>0.5</v>
      </c>
      <c r="G6" s="7">
        <v>0.75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4"/>
    </row>
    <row r="7" spans="1:14">
      <c r="A7" s="3">
        <v>2</v>
      </c>
      <c r="B7" s="4" t="s">
        <v>184</v>
      </c>
      <c r="C7" s="4" t="s">
        <v>175</v>
      </c>
      <c r="D7" s="4"/>
      <c r="E7" s="4"/>
      <c r="F7" s="5">
        <v>12000</v>
      </c>
      <c r="G7" s="5">
        <v>18000</v>
      </c>
      <c r="H7" s="5">
        <v>24000</v>
      </c>
      <c r="I7" s="5">
        <v>24000</v>
      </c>
      <c r="J7" s="5">
        <v>24000</v>
      </c>
      <c r="K7" s="5">
        <v>24000</v>
      </c>
      <c r="L7" s="5">
        <v>24000</v>
      </c>
      <c r="M7" s="5">
        <v>24000</v>
      </c>
      <c r="N7" s="4"/>
    </row>
    <row r="8" spans="1:14">
      <c r="A8" s="6"/>
      <c r="B8" s="4" t="s">
        <v>169</v>
      </c>
      <c r="C8" s="4" t="s">
        <v>170</v>
      </c>
      <c r="D8" s="4"/>
      <c r="E8" s="4"/>
      <c r="F8" s="5">
        <v>300</v>
      </c>
      <c r="G8" s="5">
        <v>300</v>
      </c>
      <c r="H8" s="5">
        <v>300</v>
      </c>
      <c r="I8" s="5">
        <v>300</v>
      </c>
      <c r="J8" s="5">
        <v>300</v>
      </c>
      <c r="K8" s="5">
        <v>300</v>
      </c>
      <c r="L8" s="5">
        <v>300</v>
      </c>
      <c r="M8" s="5">
        <v>300</v>
      </c>
      <c r="N8" s="4"/>
    </row>
    <row r="9" spans="1:14">
      <c r="A9" s="8"/>
      <c r="B9" s="4" t="s">
        <v>183</v>
      </c>
      <c r="C9" s="4" t="s">
        <v>130</v>
      </c>
      <c r="D9" s="4"/>
      <c r="E9" s="4"/>
      <c r="F9" s="7">
        <v>0.5</v>
      </c>
      <c r="G9" s="7">
        <v>0.75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4"/>
    </row>
    <row r="10" spans="1:14">
      <c r="A10" s="9">
        <v>3</v>
      </c>
      <c r="B10" s="4" t="s">
        <v>185</v>
      </c>
      <c r="C10" s="4" t="s">
        <v>175</v>
      </c>
      <c r="D10" s="4"/>
      <c r="E10" s="4"/>
      <c r="F10" s="5">
        <v>100000</v>
      </c>
      <c r="G10" s="5">
        <f>F10*1.2</f>
        <v>120000</v>
      </c>
      <c r="H10" s="5">
        <f t="shared" ref="H10:M10" si="0">G10*1.2</f>
        <v>144000</v>
      </c>
      <c r="I10" s="5">
        <f t="shared" si="0"/>
        <v>172800</v>
      </c>
      <c r="J10" s="5">
        <f t="shared" si="0"/>
        <v>207360</v>
      </c>
      <c r="K10" s="5">
        <f t="shared" si="0"/>
        <v>248832</v>
      </c>
      <c r="L10" s="5">
        <f t="shared" si="0"/>
        <v>298598.4</v>
      </c>
      <c r="M10" s="5">
        <f t="shared" si="0"/>
        <v>358318.08</v>
      </c>
      <c r="N10" s="4" t="s">
        <v>186</v>
      </c>
    </row>
    <row r="11" spans="1:14">
      <c r="A11" s="9">
        <v>4</v>
      </c>
      <c r="B11" s="4" t="s">
        <v>187</v>
      </c>
      <c r="C11" s="4" t="s">
        <v>175</v>
      </c>
      <c r="D11" s="4"/>
      <c r="E11" s="4"/>
      <c r="F11" s="5">
        <f>F4+F7+F10</f>
        <v>117000</v>
      </c>
      <c r="G11" s="5">
        <f t="shared" ref="G11:M11" si="1">G4+G7+G10</f>
        <v>145500</v>
      </c>
      <c r="H11" s="5">
        <f t="shared" si="1"/>
        <v>178000</v>
      </c>
      <c r="I11" s="5">
        <f t="shared" si="1"/>
        <v>206800</v>
      </c>
      <c r="J11" s="5">
        <f t="shared" si="1"/>
        <v>241360</v>
      </c>
      <c r="K11" s="5">
        <f t="shared" si="1"/>
        <v>282832</v>
      </c>
      <c r="L11" s="5">
        <f t="shared" si="1"/>
        <v>332598.4</v>
      </c>
      <c r="M11" s="5">
        <f t="shared" si="1"/>
        <v>392318.08</v>
      </c>
      <c r="N11" s="4"/>
    </row>
    <row r="12" spans="1:14">
      <c r="A12" s="9">
        <v>5</v>
      </c>
      <c r="B12" s="4" t="s">
        <v>103</v>
      </c>
      <c r="C12" s="4" t="s">
        <v>105</v>
      </c>
      <c r="D12" s="4"/>
      <c r="E12" s="4"/>
      <c r="F12" s="5">
        <v>16570.83096</v>
      </c>
      <c r="G12" s="5">
        <v>22561.813752</v>
      </c>
      <c r="H12" s="5">
        <v>28858.7209024</v>
      </c>
      <c r="I12" s="5">
        <v>31061.37628288</v>
      </c>
      <c r="J12" s="5">
        <v>33704.562739456</v>
      </c>
      <c r="K12" s="5">
        <v>36876.3864873472</v>
      </c>
      <c r="L12" s="5">
        <v>40682.5749848166</v>
      </c>
      <c r="M12" s="5">
        <v>45250.00118178</v>
      </c>
      <c r="N12" s="4"/>
    </row>
    <row r="13" spans="1:14">
      <c r="A13" s="9">
        <v>6</v>
      </c>
      <c r="B13" s="4" t="s">
        <v>122</v>
      </c>
      <c r="C13" s="4" t="s">
        <v>105</v>
      </c>
      <c r="D13" s="4"/>
      <c r="E13" s="4"/>
      <c r="F13" s="5">
        <v>9419.50618194043</v>
      </c>
      <c r="G13" s="5">
        <v>12167.2561819404</v>
      </c>
      <c r="H13" s="5">
        <v>14915.0061819404</v>
      </c>
      <c r="I13" s="5">
        <v>14675.0061819404</v>
      </c>
      <c r="J13" s="5">
        <v>14435.0061819404</v>
      </c>
      <c r="K13" s="5">
        <v>14195.0061819404</v>
      </c>
      <c r="L13" s="5">
        <v>13955.0061819404</v>
      </c>
      <c r="M13" s="5">
        <v>13955.0061819404</v>
      </c>
      <c r="N13" s="4"/>
    </row>
    <row r="14" spans="1:14">
      <c r="A14" s="9">
        <v>7</v>
      </c>
      <c r="B14" s="4" t="s">
        <v>188</v>
      </c>
      <c r="C14" s="4" t="s">
        <v>105</v>
      </c>
      <c r="D14" s="4"/>
      <c r="E14" s="4"/>
      <c r="F14" s="5">
        <v>1981.32688952</v>
      </c>
      <c r="G14" s="5">
        <v>2542.931421624</v>
      </c>
      <c r="H14" s="5">
        <v>3161.7438087488</v>
      </c>
      <c r="I14" s="5">
        <v>3573.64036489856</v>
      </c>
      <c r="J14" s="5">
        <v>4067.91623227827</v>
      </c>
      <c r="K14" s="5">
        <v>4661.04727313393</v>
      </c>
      <c r="L14" s="5">
        <v>5372.80452216071</v>
      </c>
      <c r="M14" s="5">
        <v>6226.91322099285</v>
      </c>
      <c r="N14" s="4"/>
    </row>
    <row r="15" spans="1:14">
      <c r="A15" s="9">
        <v>8</v>
      </c>
      <c r="B15" s="4" t="s">
        <v>123</v>
      </c>
      <c r="C15" s="4" t="s">
        <v>105</v>
      </c>
      <c r="D15" s="4"/>
      <c r="E15" s="4"/>
      <c r="F15" s="5">
        <v>1292.49947213489</v>
      </c>
      <c r="G15" s="5">
        <v>1962.90653710889</v>
      </c>
      <c r="H15" s="5">
        <v>2695.49272792769</v>
      </c>
      <c r="I15" s="5">
        <v>3203.18243401025</v>
      </c>
      <c r="J15" s="5">
        <v>3800.41008130933</v>
      </c>
      <c r="K15" s="5">
        <v>4505.08325806821</v>
      </c>
      <c r="L15" s="5">
        <v>5338.69107017887</v>
      </c>
      <c r="M15" s="5">
        <v>6267.02044471167</v>
      </c>
      <c r="N15" s="4"/>
    </row>
    <row r="16" spans="1:14">
      <c r="A16" s="9">
        <v>9</v>
      </c>
      <c r="B16" s="4" t="s">
        <v>189</v>
      </c>
      <c r="C16" s="4" t="s">
        <v>105</v>
      </c>
      <c r="D16" s="4"/>
      <c r="E16" s="4"/>
      <c r="F16" s="5">
        <v>3877.49841640468</v>
      </c>
      <c r="G16" s="5">
        <v>5888.71961132668</v>
      </c>
      <c r="H16" s="5">
        <v>8086.47818378308</v>
      </c>
      <c r="I16" s="5">
        <v>9609.54730203076</v>
      </c>
      <c r="J16" s="5">
        <v>11401.230243928</v>
      </c>
      <c r="K16" s="5">
        <v>13515.2497742046</v>
      </c>
      <c r="L16" s="5">
        <v>16016.0732105366</v>
      </c>
      <c r="M16" s="5">
        <v>18801.061334135</v>
      </c>
      <c r="N16" s="4"/>
    </row>
    <row r="17" spans="1:14">
      <c r="A17" s="9">
        <v>10</v>
      </c>
      <c r="B17" s="4" t="s">
        <v>190</v>
      </c>
      <c r="C17" s="4" t="s">
        <v>105</v>
      </c>
      <c r="D17" s="10">
        <v>24262.5</v>
      </c>
      <c r="E17" s="11"/>
      <c r="F17" s="11"/>
      <c r="G17" s="11"/>
      <c r="H17" s="11"/>
      <c r="I17" s="11"/>
      <c r="J17" s="11"/>
      <c r="K17" s="11"/>
      <c r="L17" s="11"/>
      <c r="M17" s="11"/>
      <c r="N17" s="16"/>
    </row>
    <row r="18" spans="1:14">
      <c r="A18" s="9">
        <v>11</v>
      </c>
      <c r="B18" s="4" t="s">
        <v>126</v>
      </c>
      <c r="C18" s="4" t="s">
        <v>127</v>
      </c>
      <c r="D18" s="12">
        <v>5.66702453164792</v>
      </c>
      <c r="E18" s="13"/>
      <c r="F18" s="13"/>
      <c r="G18" s="13"/>
      <c r="H18" s="13"/>
      <c r="I18" s="13"/>
      <c r="J18" s="13"/>
      <c r="K18" s="13"/>
      <c r="L18" s="13"/>
      <c r="M18" s="13"/>
      <c r="N18" s="17"/>
    </row>
    <row r="19" spans="1:14">
      <c r="A19" s="9">
        <v>12</v>
      </c>
      <c r="B19" s="4" t="s">
        <v>191</v>
      </c>
      <c r="C19" s="4" t="s">
        <v>130</v>
      </c>
      <c r="D19" s="14">
        <v>0.263923819490272</v>
      </c>
      <c r="E19" s="15"/>
      <c r="F19" s="15"/>
      <c r="G19" s="15"/>
      <c r="H19" s="15"/>
      <c r="I19" s="15"/>
      <c r="J19" s="15"/>
      <c r="K19" s="15"/>
      <c r="L19" s="15"/>
      <c r="M19" s="15"/>
      <c r="N19" s="18"/>
    </row>
    <row r="20" spans="1:14">
      <c r="A20" s="9">
        <v>13</v>
      </c>
      <c r="B20" s="4" t="s">
        <v>192</v>
      </c>
      <c r="C20" s="4" t="s">
        <v>105</v>
      </c>
      <c r="D20" s="12">
        <v>22552.8180317599</v>
      </c>
      <c r="E20" s="13"/>
      <c r="F20" s="13"/>
      <c r="G20" s="13"/>
      <c r="H20" s="13"/>
      <c r="I20" s="13"/>
      <c r="J20" s="13"/>
      <c r="K20" s="13"/>
      <c r="L20" s="13"/>
      <c r="M20" s="13"/>
      <c r="N20" s="17"/>
    </row>
  </sheetData>
  <mergeCells count="7">
    <mergeCell ref="A2:N2"/>
    <mergeCell ref="D17:N17"/>
    <mergeCell ref="D18:N18"/>
    <mergeCell ref="D19:N19"/>
    <mergeCell ref="D20:N20"/>
    <mergeCell ref="A4:A6"/>
    <mergeCell ref="A7:A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投资估算表</vt:lpstr>
      <vt:lpstr>项目总折旧摊销表   </vt:lpstr>
      <vt:lpstr>项目原材料及动力消耗费用估算表 </vt:lpstr>
      <vt:lpstr>项目销售收入及销售税金估算表</vt:lpstr>
      <vt:lpstr>项目所得税前投资财务现金流量表 </vt:lpstr>
      <vt:lpstr> 项目损益和利润分配表 </vt:lpstr>
      <vt:lpstr>项目总成本费用表       </vt:lpstr>
      <vt:lpstr>绿色能源发电明细</vt:lpstr>
      <vt:lpstr>综合表格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V.</cp:lastModifiedBy>
  <dcterms:created xsi:type="dcterms:W3CDTF">2018-02-27T11:14:00Z</dcterms:created>
  <dcterms:modified xsi:type="dcterms:W3CDTF">2022-12-29T05:31:00Z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75A3D3733EE74E4D834143119201D645</vt:lpwstr>
  </property>
</Properties>
</file>