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FADC" lockStructure="1"/>
  <bookViews>
    <workbookView xWindow="0" yWindow="276" windowWidth="19176" windowHeight="6984" tabRatio="756" activeTab="1"/>
  </bookViews>
  <sheets>
    <sheet name="使用说明" sheetId="15" r:id="rId1"/>
    <sheet name="物料衡算法数据表" sheetId="10" r:id="rId2"/>
    <sheet name="热值系数法数据表" sheetId="13" r:id="rId3"/>
    <sheet name="工程估算法数据表" sheetId="14" r:id="rId4"/>
    <sheet name="排放物料组成计算" sheetId="19" state="hidden" r:id="rId5"/>
    <sheet name="常用物质的分子量" sheetId="18" state="hidden" r:id="rId6"/>
    <sheet name="相关系数取值" sheetId="17" state="hidden" r:id="rId7"/>
  </sheets>
  <calcPr calcId="145621"/>
</workbook>
</file>

<file path=xl/calcChain.xml><?xml version="1.0" encoding="utf-8"?>
<calcChain xmlns="http://schemas.openxmlformats.org/spreadsheetml/2006/main">
  <c r="G2" i="19" l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2" i="19"/>
  <c r="AG2" i="14" l="1"/>
  <c r="AN2" i="14" l="1"/>
  <c r="Y2" i="10"/>
  <c r="V2" i="13"/>
  <c r="E2" i="19" l="1"/>
  <c r="H2" i="19" l="1"/>
  <c r="X2" i="14"/>
  <c r="I39" i="18"/>
  <c r="B39" i="18" s="1"/>
  <c r="I38" i="18"/>
  <c r="B38" i="18" s="1"/>
  <c r="I37" i="18"/>
  <c r="B37" i="18"/>
  <c r="I36" i="18"/>
  <c r="B36" i="18" s="1"/>
  <c r="I7" i="18"/>
  <c r="I10" i="18"/>
  <c r="I11" i="18"/>
  <c r="I12" i="18"/>
  <c r="I15" i="18"/>
  <c r="I16" i="18"/>
  <c r="I17" i="18"/>
  <c r="I18" i="18"/>
  <c r="B18" i="18" s="1"/>
  <c r="I19" i="18"/>
  <c r="B19" i="18" s="1"/>
  <c r="I20" i="18"/>
  <c r="I21" i="18"/>
  <c r="I22" i="18"/>
  <c r="B22" i="18" s="1"/>
  <c r="I23" i="18"/>
  <c r="B23" i="18" s="1"/>
  <c r="I24" i="18"/>
  <c r="I25" i="18"/>
  <c r="I26" i="18"/>
  <c r="I27" i="18"/>
  <c r="B27" i="18" s="1"/>
  <c r="I28" i="18"/>
  <c r="B28" i="18" s="1"/>
  <c r="I29" i="18"/>
  <c r="I30" i="18"/>
  <c r="I31" i="18"/>
  <c r="B31" i="18" s="1"/>
  <c r="I32" i="18"/>
  <c r="I33" i="18"/>
  <c r="I34" i="18"/>
  <c r="B34" i="18" s="1"/>
  <c r="I2" i="19" s="1"/>
  <c r="J2" i="19" s="1"/>
  <c r="I35" i="18"/>
  <c r="B35" i="18" s="1"/>
  <c r="S2" i="13"/>
  <c r="U2" i="13" s="1"/>
  <c r="B24" i="18"/>
  <c r="B21" i="18"/>
  <c r="B33" i="18"/>
  <c r="B32" i="18"/>
  <c r="B30" i="18"/>
  <c r="B29" i="18"/>
  <c r="B26" i="18"/>
  <c r="B25" i="18"/>
  <c r="B20" i="18"/>
  <c r="B17" i="18"/>
  <c r="B16" i="18"/>
  <c r="B15" i="18"/>
  <c r="D12" i="18"/>
  <c r="D9" i="18"/>
  <c r="I9" i="18" s="1"/>
  <c r="D13" i="18"/>
  <c r="D14" i="18"/>
  <c r="I14" i="18" s="1"/>
  <c r="D11" i="18"/>
  <c r="D8" i="18"/>
  <c r="I8" i="18" s="1"/>
  <c r="D6" i="18"/>
  <c r="I6" i="18" s="1"/>
  <c r="D4" i="18"/>
  <c r="I4" i="18" s="1"/>
  <c r="D10" i="18"/>
  <c r="D7" i="18"/>
  <c r="D5" i="18"/>
  <c r="D3" i="18"/>
  <c r="D2" i="18"/>
  <c r="I2" i="18" s="1"/>
  <c r="B7" i="18" l="1"/>
  <c r="B10" i="18"/>
  <c r="B3" i="18"/>
  <c r="I13" i="18"/>
  <c r="B13" i="18" s="1"/>
  <c r="I5" i="18"/>
  <c r="B5" i="18" s="1"/>
  <c r="I3" i="18"/>
  <c r="B11" i="18"/>
  <c r="B8" i="18"/>
  <c r="B14" i="18"/>
  <c r="B6" i="18"/>
  <c r="B4" i="18"/>
  <c r="B9" i="18"/>
  <c r="B12" i="18"/>
  <c r="B2" i="18"/>
  <c r="T2" i="14" l="1"/>
  <c r="AH2" i="14" s="1"/>
  <c r="R2" i="14"/>
  <c r="AJ2" i="14" l="1"/>
  <c r="AI2" i="14"/>
  <c r="AO2" i="14"/>
  <c r="V2" i="14"/>
  <c r="W2" i="13"/>
  <c r="X2" i="13" l="1"/>
  <c r="X5" i="13" s="1"/>
  <c r="Z2" i="10"/>
  <c r="AA2" i="10" s="1"/>
  <c r="AM2" i="14" l="1"/>
  <c r="AP2" i="14" s="1"/>
  <c r="AP5" i="14" s="1"/>
  <c r="AK2" i="14"/>
  <c r="V2" i="10"/>
  <c r="AA5" i="10" l="1"/>
  <c r="X2" i="10"/>
</calcChain>
</file>

<file path=xl/sharedStrings.xml><?xml version="1.0" encoding="utf-8"?>
<sst xmlns="http://schemas.openxmlformats.org/spreadsheetml/2006/main" count="268" uniqueCount="177">
  <si>
    <t>序号</t>
    <phoneticPr fontId="1" type="noConversion"/>
  </si>
  <si>
    <t>火炬名称</t>
    <phoneticPr fontId="1" type="noConversion"/>
  </si>
  <si>
    <t>服务装置/单元</t>
    <phoneticPr fontId="1" type="noConversion"/>
  </si>
  <si>
    <t>火炬助燃类型</t>
    <phoneticPr fontId="1" type="noConversion"/>
  </si>
  <si>
    <t>序号</t>
    <phoneticPr fontId="1" type="noConversion"/>
  </si>
  <si>
    <t>蒸汽/气体比</t>
    <phoneticPr fontId="1" type="noConversion"/>
  </si>
  <si>
    <t>长明灯燃料种类</t>
    <phoneticPr fontId="1" type="noConversion"/>
  </si>
  <si>
    <t>蒸汽助燃</t>
  </si>
  <si>
    <t>天然气</t>
  </si>
  <si>
    <t>容器的临界压力，Mpa</t>
    <phoneticPr fontId="1" type="noConversion"/>
  </si>
  <si>
    <t>火炬燃烧效率，%</t>
    <phoneticPr fontId="1" type="noConversion"/>
  </si>
  <si>
    <t>火炬设计规模（t/h）</t>
    <phoneticPr fontId="1" type="noConversion"/>
  </si>
  <si>
    <r>
      <t>气柜规模（m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</si>
  <si>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r>
      <t>长明灯燃料气流量（m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/h）</t>
    </r>
    <phoneticPr fontId="1" type="noConversion"/>
  </si>
  <si>
    <t>长明灯工作时间（h）</t>
    <phoneticPr fontId="1" type="noConversion"/>
  </si>
  <si>
    <r>
      <t>火炬气流量（m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/h）</t>
    </r>
    <phoneticPr fontId="1" type="noConversion"/>
  </si>
  <si>
    <t>每次排放持续时间（h）</t>
    <phoneticPr fontId="1" type="noConversion"/>
  </si>
  <si>
    <r>
      <t>火炬气低热值（MJ/Nm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</si>
  <si>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火炬头火焰温度（℃）</t>
    <phoneticPr fontId="1" type="noConversion"/>
  </si>
  <si>
    <t>气柜压力（Mpa）</t>
    <phoneticPr fontId="1" type="noConversion"/>
  </si>
  <si>
    <t>水封工作压力（Mpa）</t>
    <phoneticPr fontId="1" type="noConversion"/>
  </si>
  <si>
    <t>安全阀口径（mm）</t>
    <phoneticPr fontId="1" type="noConversion"/>
  </si>
  <si>
    <t>泄放事件持续时间（s）</t>
    <phoneticPr fontId="1" type="noConversion"/>
  </si>
  <si>
    <t>火炬出口流速（m/s）</t>
    <phoneticPr fontId="1" type="noConversion"/>
  </si>
  <si>
    <t>某火炬</t>
    <phoneticPr fontId="1" type="noConversion"/>
  </si>
  <si>
    <t>某装置</t>
    <phoneticPr fontId="1" type="noConversion"/>
  </si>
  <si>
    <t>计算排放气体的马赫数</t>
    <phoneticPr fontId="1" type="noConversion"/>
  </si>
  <si>
    <t>火炬排放VOC（t/a）</t>
    <phoneticPr fontId="1" type="noConversion"/>
  </si>
  <si>
    <t>长明灯排放VOC（t/a）</t>
    <phoneticPr fontId="1" type="noConversion"/>
  </si>
  <si>
    <r>
      <t>排放口的横截面积（</t>
    </r>
    <r>
      <rPr>
        <sz val="10.5"/>
        <color rgb="FF000000"/>
        <rFont val="Times New Roman"/>
        <family val="1"/>
      </rPr>
      <t>m</t>
    </r>
    <r>
      <rPr>
        <vertAlign val="superscript"/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）</t>
    </r>
    <phoneticPr fontId="1" type="noConversion"/>
  </si>
  <si>
    <t>火炬投用率（%）</t>
    <phoneticPr fontId="1" type="noConversion"/>
  </si>
  <si>
    <t>热值VOC排放系数（kg/MJ）</t>
    <phoneticPr fontId="1" type="noConversion"/>
  </si>
  <si>
    <t>长明灯排放VOC（t/a）</t>
    <phoneticPr fontId="1" type="noConversion"/>
  </si>
  <si>
    <t>某火炬</t>
    <phoneticPr fontId="1" type="noConversion"/>
  </si>
  <si>
    <r>
      <t>长明灯燃料VOCs排放系数（kg/m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</si>
  <si>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年排放次数（次/a）</t>
    <phoneticPr fontId="1" type="noConversion"/>
  </si>
  <si>
    <t>年排放次数(次/a)</t>
    <phoneticPr fontId="1" type="noConversion"/>
  </si>
  <si>
    <t>排放容器内部温度（℃）</t>
    <phoneticPr fontId="1" type="noConversion"/>
  </si>
  <si>
    <t>甲烷1%、乙烷2%、乙烯1%、丙烷5%、丙烯5%、丁烷40%、丁烯41%、氮5%</t>
    <phoneticPr fontId="1" type="noConversion"/>
  </si>
  <si>
    <t>火炬排放序号(第几次)</t>
    <phoneticPr fontId="1" type="noConversion"/>
  </si>
  <si>
    <t>第1次</t>
  </si>
  <si>
    <t>燃烧工况</t>
    <phoneticPr fontId="1" type="noConversion"/>
  </si>
  <si>
    <t>正常</t>
  </si>
  <si>
    <t>汇总</t>
    <phoneticPr fontId="1" type="noConversion"/>
  </si>
  <si>
    <t>长明灯燃料</t>
    <phoneticPr fontId="1" type="noConversion"/>
  </si>
  <si>
    <t>长明灯燃料燃烧排放系数(kg/m3)</t>
    <phoneticPr fontId="1" type="noConversion"/>
  </si>
  <si>
    <t>天然气</t>
    <phoneticPr fontId="1" type="noConversion"/>
  </si>
  <si>
    <t>燃料气</t>
    <phoneticPr fontId="1" type="noConversion"/>
  </si>
  <si>
    <t>液化石油气</t>
    <phoneticPr fontId="1" type="noConversion"/>
  </si>
  <si>
    <t>液化丙烷</t>
    <phoneticPr fontId="1" type="noConversion"/>
  </si>
  <si>
    <t>液化丁烷</t>
    <phoneticPr fontId="1" type="noConversion"/>
  </si>
  <si>
    <t>火炬气物料组成</t>
    <phoneticPr fontId="1" type="noConversion"/>
  </si>
  <si>
    <t>甲烷</t>
    <phoneticPr fontId="1" type="noConversion"/>
  </si>
  <si>
    <t>乙烷</t>
    <phoneticPr fontId="1" type="noConversion"/>
  </si>
  <si>
    <t>乙烯</t>
    <phoneticPr fontId="1" type="noConversion"/>
  </si>
  <si>
    <t>丙烯</t>
    <phoneticPr fontId="1" type="noConversion"/>
  </si>
  <si>
    <t>丙烷</t>
    <phoneticPr fontId="1" type="noConversion"/>
  </si>
  <si>
    <t>丁烷</t>
    <phoneticPr fontId="1" type="noConversion"/>
  </si>
  <si>
    <t>丁烯</t>
    <phoneticPr fontId="1" type="noConversion"/>
  </si>
  <si>
    <t>戊烷</t>
    <phoneticPr fontId="1" type="noConversion"/>
  </si>
  <si>
    <t>戊烯</t>
    <phoneticPr fontId="1" type="noConversion"/>
  </si>
  <si>
    <t>物质</t>
    <phoneticPr fontId="1" type="noConversion"/>
  </si>
  <si>
    <t>分子量</t>
    <phoneticPr fontId="1" type="noConversion"/>
  </si>
  <si>
    <t>已烷</t>
    <phoneticPr fontId="1" type="noConversion"/>
  </si>
  <si>
    <t>已烯</t>
    <phoneticPr fontId="1" type="noConversion"/>
  </si>
  <si>
    <t>苯</t>
    <phoneticPr fontId="1" type="noConversion"/>
  </si>
  <si>
    <t>甲苯</t>
    <phoneticPr fontId="1" type="noConversion"/>
  </si>
  <si>
    <t>二甲苯</t>
    <phoneticPr fontId="1" type="noConversion"/>
  </si>
  <si>
    <t>乙苯</t>
    <phoneticPr fontId="1" type="noConversion"/>
  </si>
  <si>
    <t>甲醇</t>
    <phoneticPr fontId="1" type="noConversion"/>
  </si>
  <si>
    <t>甲醛</t>
    <phoneticPr fontId="1" type="noConversion"/>
  </si>
  <si>
    <t>MTBE</t>
    <phoneticPr fontId="1" type="noConversion"/>
  </si>
  <si>
    <t>氰化氢</t>
    <phoneticPr fontId="1" type="noConversion"/>
  </si>
  <si>
    <t>乙醛</t>
    <phoneticPr fontId="1" type="noConversion"/>
  </si>
  <si>
    <t>氯乙烷</t>
    <phoneticPr fontId="1" type="noConversion"/>
  </si>
  <si>
    <t>氯乙烯</t>
    <phoneticPr fontId="1" type="noConversion"/>
  </si>
  <si>
    <t>丙烯腈</t>
    <phoneticPr fontId="1" type="noConversion"/>
  </si>
  <si>
    <t>苯乙烯</t>
    <phoneticPr fontId="1" type="noConversion"/>
  </si>
  <si>
    <t>丁二烯</t>
    <phoneticPr fontId="1" type="noConversion"/>
  </si>
  <si>
    <t>戊二烯</t>
    <phoneticPr fontId="1" type="noConversion"/>
  </si>
  <si>
    <t>氯甲烷</t>
    <phoneticPr fontId="1" type="noConversion"/>
  </si>
  <si>
    <t>氯丙烷</t>
    <phoneticPr fontId="1" type="noConversion"/>
  </si>
  <si>
    <t>乙酸</t>
    <phoneticPr fontId="1" type="noConversion"/>
  </si>
  <si>
    <t>C</t>
    <phoneticPr fontId="1" type="noConversion"/>
  </si>
  <si>
    <t>H</t>
    <phoneticPr fontId="1" type="noConversion"/>
  </si>
  <si>
    <t>O</t>
    <phoneticPr fontId="1" type="noConversion"/>
  </si>
  <si>
    <t>N</t>
    <phoneticPr fontId="1" type="noConversion"/>
  </si>
  <si>
    <t>CL</t>
    <phoneticPr fontId="1" type="noConversion"/>
  </si>
  <si>
    <t>乙醇</t>
    <phoneticPr fontId="1" type="noConversion"/>
  </si>
  <si>
    <t>甲酸甲酯</t>
    <phoneticPr fontId="1" type="noConversion"/>
  </si>
  <si>
    <t>乙酸乙酯</t>
    <phoneticPr fontId="1" type="noConversion"/>
  </si>
  <si>
    <t>火炬气平均分子量</t>
    <phoneticPr fontId="1" type="noConversion"/>
  </si>
  <si>
    <t>体积分数</t>
    <phoneticPr fontId="1" type="noConversion"/>
  </si>
  <si>
    <t>VOC</t>
    <phoneticPr fontId="1" type="noConversion"/>
  </si>
  <si>
    <t>VOC识别</t>
    <phoneticPr fontId="1" type="noConversion"/>
  </si>
  <si>
    <t>VOC体积分数（%v）</t>
    <phoneticPr fontId="1" type="noConversion"/>
  </si>
  <si>
    <t>年排放次数(次/a)</t>
    <phoneticPr fontId="1" type="noConversion"/>
  </si>
  <si>
    <t>火炬排放VOC，t/次</t>
    <phoneticPr fontId="1" type="noConversion"/>
  </si>
  <si>
    <t>VOC总排放量（t/a）</t>
    <phoneticPr fontId="1" type="noConversion"/>
  </si>
  <si>
    <t>火炬年排放量（t/a）</t>
    <phoneticPr fontId="1" type="noConversion"/>
  </si>
  <si>
    <t>火炬</t>
    <phoneticPr fontId="1" type="noConversion"/>
  </si>
  <si>
    <t>火炬VOC排放系数（kg/MJ）</t>
    <phoneticPr fontId="1" type="noConversion"/>
  </si>
  <si>
    <t>火炬排放VOC（t/次）</t>
    <phoneticPr fontId="1" type="noConversion"/>
  </si>
  <si>
    <t>分子量/mol</t>
    <phoneticPr fontId="1" type="noConversion"/>
  </si>
  <si>
    <t>硫化氢</t>
    <phoneticPr fontId="1" type="noConversion"/>
  </si>
  <si>
    <t>一氧化碳</t>
    <phoneticPr fontId="1" type="noConversion"/>
  </si>
  <si>
    <t>二氧化碳</t>
    <phoneticPr fontId="1" type="noConversion"/>
  </si>
  <si>
    <t>氮气</t>
    <phoneticPr fontId="1" type="noConversion"/>
  </si>
  <si>
    <t>氧气</t>
    <phoneticPr fontId="1" type="noConversion"/>
  </si>
  <si>
    <t>氢气</t>
    <phoneticPr fontId="1" type="noConversion"/>
  </si>
  <si>
    <t>非V0C</t>
  </si>
  <si>
    <t>非V0C</t>
    <phoneticPr fontId="1" type="noConversion"/>
  </si>
  <si>
    <t>S</t>
    <phoneticPr fontId="1" type="noConversion"/>
  </si>
  <si>
    <t>分子量</t>
    <phoneticPr fontId="1" type="noConversion"/>
  </si>
  <si>
    <t>各物质的质量</t>
    <phoneticPr fontId="1" type="noConversion"/>
  </si>
  <si>
    <t>V0C质量分数</t>
    <phoneticPr fontId="1" type="noConversion"/>
  </si>
  <si>
    <t>排放容器内部压力（Mpa，表）</t>
    <phoneticPr fontId="1" type="noConversion"/>
  </si>
  <si>
    <t>排放容器内部压力（Mpa，绝）</t>
    <phoneticPr fontId="1" type="noConversion"/>
  </si>
  <si>
    <t>排放气体出口压力（Mpa，表）</t>
    <phoneticPr fontId="1" type="noConversion"/>
  </si>
  <si>
    <t>排放气体出口压力（Mpa，绝）</t>
    <phoneticPr fontId="1" type="noConversion"/>
  </si>
  <si>
    <t>泄放事件持续时间（h）</t>
    <phoneticPr fontId="1" type="noConversion"/>
  </si>
  <si>
    <t>排放气体的马赫数,M</t>
    <phoneticPr fontId="1" type="noConversion"/>
  </si>
  <si>
    <t>泄放气体等压热容与等体积热容的比值,K</t>
    <phoneticPr fontId="1" type="noConversion"/>
  </si>
  <si>
    <t>汇总</t>
    <phoneticPr fontId="1" type="noConversion"/>
  </si>
  <si>
    <t>注1：当每次排放的情况相同时，可用每次计算的排放量乘以年排放次数进行计算火炬的年排放量；当每次排放的情况不同时，应单独计算每次排放量并进行加和计算火炬的年排放量。</t>
    <phoneticPr fontId="1" type="noConversion"/>
  </si>
  <si>
    <t>VOC质量分数</t>
    <phoneticPr fontId="1" type="noConversion"/>
  </si>
  <si>
    <t>化合物</t>
  </si>
  <si>
    <t>k</t>
  </si>
  <si>
    <t>甲烷</t>
  </si>
  <si>
    <t>空气</t>
  </si>
  <si>
    <t>氢气</t>
  </si>
  <si>
    <t>乙烷</t>
  </si>
  <si>
    <t>氮气</t>
  </si>
  <si>
    <t>乙烯</t>
  </si>
  <si>
    <t>氧气</t>
  </si>
  <si>
    <t>丙烷</t>
  </si>
  <si>
    <t>一氧化碳</t>
  </si>
  <si>
    <t>二氧化碳</t>
  </si>
  <si>
    <t>戊烷</t>
  </si>
  <si>
    <t>硫化氢</t>
  </si>
  <si>
    <t>己烷或环己烷</t>
  </si>
  <si>
    <t>二氧化硫</t>
  </si>
  <si>
    <t>苯</t>
  </si>
  <si>
    <t>正丁烷或异丁烷</t>
    <phoneticPr fontId="1" type="noConversion"/>
  </si>
  <si>
    <t>C1-C2</t>
    <phoneticPr fontId="1" type="noConversion"/>
  </si>
  <si>
    <t>C2-C3</t>
    <phoneticPr fontId="1" type="noConversion"/>
  </si>
  <si>
    <t>C3-C4</t>
    <phoneticPr fontId="1" type="noConversion"/>
  </si>
  <si>
    <t>C4-C5</t>
    <phoneticPr fontId="1" type="noConversion"/>
  </si>
  <si>
    <t>苯系物</t>
    <phoneticPr fontId="1" type="noConversion"/>
  </si>
  <si>
    <t>C5-C6</t>
    <phoneticPr fontId="1" type="noConversion"/>
  </si>
  <si>
    <t>泄放气体当量物质</t>
    <phoneticPr fontId="1" type="noConversion"/>
  </si>
  <si>
    <t>惰性气体</t>
    <phoneticPr fontId="1" type="noConversion"/>
  </si>
  <si>
    <t>注1：当每次排放的情况相同时，可用每次计算的排放量乘以年排放次数进行计算火炬的年排放量；当每次排放的情况不同时，应单独计算每次排放量并进行加和计算火炬的年排放量。</t>
    <phoneticPr fontId="1" type="noConversion"/>
  </si>
  <si>
    <t>VOC平均分子量</t>
    <phoneticPr fontId="1" type="noConversion"/>
  </si>
  <si>
    <t>V0C体积分数</t>
    <phoneticPr fontId="1" type="noConversion"/>
  </si>
  <si>
    <r>
      <t>k</t>
    </r>
    <r>
      <rPr>
        <b/>
        <sz val="14"/>
        <color theme="1"/>
        <rFont val="Times New Roman"/>
        <family val="1"/>
      </rPr>
      <t xml:space="preserve"> =</t>
    </r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>p/</t>
    </r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>v</t>
    </r>
    <r>
      <rPr>
        <b/>
        <sz val="14"/>
        <color theme="1"/>
        <rFont val="仿宋_GB2312"/>
        <family val="3"/>
        <charset val="134"/>
      </rPr>
      <t>，等压热容与等体积热容的比值。</t>
    </r>
  </si>
  <si>
    <t>火炬气物料组成（%V）</t>
    <phoneticPr fontId="1" type="noConversion"/>
  </si>
  <si>
    <t>VOC分子量</t>
    <phoneticPr fontId="1" type="noConversion"/>
  </si>
  <si>
    <t>VOC的质量</t>
    <phoneticPr fontId="1" type="noConversion"/>
  </si>
  <si>
    <t>火炬气质量=分子量</t>
    <phoneticPr fontId="1" type="noConversion"/>
  </si>
  <si>
    <t>C3-C4</t>
  </si>
  <si>
    <t>其它VOC</t>
    <phoneticPr fontId="1" type="noConversion"/>
  </si>
  <si>
    <t>氢气50%、其它VOC 50%</t>
    <phoneticPr fontId="1" type="noConversion"/>
  </si>
  <si>
    <t xml:space="preserve">火炬VOCs排放计算程序使用说明：
    1.本计算程序根据《石化行业VOCs污染源排查工作指南》中附录五中的火炬排放数据表的相关内容进行编写，目的在于方便火炬VOCs排放量计算。
    2.企业需根据自身火炬服务对象、运行监测及排放统计情况开展火炬排放源的排查，选取相应的计算方法。物料衡算法适用于企业开展了火炬进气的日常监测；热值系数法也适用于企业开展了火炬进气的日常监测，但使用该方法时必须确保火炬的燃烧效率不低于98%；工程估算法适用于企业没有开展火炬进气的日常监测，但对装置/设施排火炬的情况均有记录的情况。
    3.每个计算方法中均包括必填项和选填项，必填项包括排放源的基本信息以及与计算结果直接相关的计算参数，填入相应计算参数后程序会自动计算出相应的排放量；除必填项以外的其它内容为选填项，企业根据自身情况尽量完善。
    4.每种计算方法对应一个数据表，打开数据表后会有一个数据表界面，数据表的表头列出了需要填写的各项内容，逐项点内容所在的单元格，会出现一个提示框，提示该内容是必填项还是选填项，以及与填写内容有关的注意事项或提示，企业需从序号1开始按照表头所列的各项内容填入相应的内容或数据。
    5.各数据表中给出了一个计算例子，由于后台链接有数据，可以更改、不能删除。输入多个排放源时必须在汇总行以上的区域内插入行，而且用整行复制到下一行的方法，复制后再更改数据。当单元格设置有选项时按实际情况选择填入。
    6.表中给出的计算例子，只为了说明表格的使用，不应做为追朔其真实性的依据。
    7.火炬的燃烧效率的取值与燃烧工况有关，具体的燃烧效率与运行工况的对应关系参见《石化行业VOCs污染源排查工作指南》附录五.3中核算方法。
 </t>
    <phoneticPr fontId="1" type="noConversion"/>
  </si>
  <si>
    <t>氧气</t>
    <phoneticPr fontId="1" type="noConversion"/>
  </si>
  <si>
    <t>硫化氢</t>
    <phoneticPr fontId="1" type="noConversion"/>
  </si>
  <si>
    <t>二氧化碳</t>
    <phoneticPr fontId="1" type="noConversion"/>
  </si>
  <si>
    <t>氢气</t>
    <phoneticPr fontId="1" type="noConversion"/>
  </si>
  <si>
    <t>甲烷</t>
    <phoneticPr fontId="1" type="noConversion"/>
  </si>
  <si>
    <t>乙烷</t>
    <phoneticPr fontId="1" type="noConversion"/>
  </si>
  <si>
    <t>乙烯</t>
    <phoneticPr fontId="1" type="noConversion"/>
  </si>
  <si>
    <t>丙烯</t>
    <phoneticPr fontId="1" type="noConversion"/>
  </si>
  <si>
    <t>丙烷</t>
    <phoneticPr fontId="1" type="noConversion"/>
  </si>
  <si>
    <t>丁烷</t>
    <phoneticPr fontId="1" type="noConversion"/>
  </si>
  <si>
    <t>丁烯</t>
    <phoneticPr fontId="1" type="noConversion"/>
  </si>
  <si>
    <t>戊烷</t>
    <phoneticPr fontId="1" type="noConversion"/>
  </si>
  <si>
    <t>一氧化碳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</si>
</sst>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0.0000_ "/>
    <numFmt numFmtId="179" formatCode="0.00_);[Red]\(0.00\)"/>
    <numFmt numFmtId="180" formatCode="0.000_);[Red]\(0.00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Times New Roman"/>
      <family val="1"/>
    </font>
    <font>
      <vertAlign val="super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仿宋_GB2312"/>
      <family val="3"/>
      <charset val="134"/>
    </font>
    <font>
      <b/>
      <i/>
      <sz val="10.5"/>
      <color theme="1"/>
      <name val="Times New Roman"/>
      <family val="1"/>
    </font>
    <font>
      <sz val="10.5"/>
      <color theme="1"/>
      <name val="仿宋_GB2312"/>
      <family val="3"/>
      <charset val="134"/>
    </font>
    <font>
      <sz val="10.5"/>
      <color theme="1"/>
      <name val="Times New Roman"/>
      <family val="1"/>
    </font>
    <font>
      <b/>
      <sz val="11"/>
      <color theme="1"/>
      <name val="宋体"/>
      <family val="2"/>
      <charset val="134"/>
      <scheme val="minor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仿宋_GB2312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176" fontId="0" fillId="3" borderId="1" xfId="0" applyNumberForma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179" fontId="0" fillId="3" borderId="1" xfId="0" applyNumberFormat="1" applyFill="1" applyBorder="1" applyProtection="1">
      <alignment vertical="center"/>
    </xf>
    <xf numFmtId="9" fontId="0" fillId="0" borderId="0" xfId="0" applyNumberFormat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>
      <alignment vertical="center" wrapText="1"/>
    </xf>
    <xf numFmtId="0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vertical="center" wrapText="1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0" fillId="2" borderId="2" xfId="0" applyFill="1" applyBorder="1" applyAlignment="1" applyProtection="1">
      <alignment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 applyProtection="1">
      <alignment vertical="center" wrapText="1"/>
      <protection locked="0"/>
    </xf>
    <xf numFmtId="0" fontId="0" fillId="6" borderId="2" xfId="0" applyFill="1" applyBorder="1" applyAlignment="1" applyProtection="1">
      <alignment horizontal="center" vertical="center" wrapText="1"/>
      <protection locked="0"/>
    </xf>
    <xf numFmtId="10" fontId="0" fillId="6" borderId="2" xfId="0" applyNumberFormat="1" applyFill="1" applyBorder="1" applyAlignment="1" applyProtection="1">
      <alignment horizontal="center" vertical="center" wrapText="1"/>
      <protection locked="0"/>
    </xf>
    <xf numFmtId="178" fontId="0" fillId="3" borderId="2" xfId="0" applyNumberForma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179" fontId="0" fillId="3" borderId="2" xfId="0" applyNumberFormat="1" applyFill="1" applyBorder="1" applyProtection="1">
      <alignment vertical="center"/>
      <protection locked="0"/>
    </xf>
    <xf numFmtId="0" fontId="0" fillId="8" borderId="4" xfId="0" applyFill="1" applyBorder="1" applyAlignment="1" applyProtection="1">
      <alignment vertical="center" wrapText="1"/>
      <protection locked="0"/>
    </xf>
    <xf numFmtId="0" fontId="0" fillId="8" borderId="5" xfId="0" applyFill="1" applyBorder="1" applyAlignment="1" applyProtection="1">
      <alignment vertical="center" wrapText="1"/>
      <protection locked="0"/>
    </xf>
    <xf numFmtId="0" fontId="0" fillId="8" borderId="5" xfId="0" applyFill="1" applyBorder="1" applyAlignment="1" applyProtection="1">
      <alignment horizontal="center" vertical="center" wrapText="1"/>
      <protection locked="0"/>
    </xf>
    <xf numFmtId="10" fontId="0" fillId="8" borderId="5" xfId="0" applyNumberFormat="1" applyFill="1" applyBorder="1" applyAlignment="1" applyProtection="1">
      <alignment horizontal="center" vertical="center" wrapText="1"/>
      <protection locked="0"/>
    </xf>
    <xf numFmtId="178" fontId="0" fillId="8" borderId="5" xfId="0" applyNumberFormat="1" applyFill="1" applyBorder="1" applyAlignment="1" applyProtection="1">
      <alignment horizontal="center" vertical="center" wrapText="1"/>
      <protection locked="0"/>
    </xf>
    <xf numFmtId="9" fontId="0" fillId="8" borderId="5" xfId="0" applyNumberFormat="1" applyFill="1" applyBorder="1" applyAlignment="1" applyProtection="1">
      <alignment horizontal="center" vertical="center" wrapText="1"/>
      <protection locked="0"/>
    </xf>
    <xf numFmtId="178" fontId="0" fillId="8" borderId="5" xfId="0" applyNumberFormat="1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8" borderId="5" xfId="0" applyNumberFormat="1" applyFill="1" applyBorder="1" applyAlignment="1" applyProtection="1">
      <alignment vertical="center" wrapText="1"/>
      <protection locked="0"/>
    </xf>
    <xf numFmtId="176" fontId="0" fillId="8" borderId="5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alignment vertical="center"/>
      <protection locked="0"/>
    </xf>
    <xf numFmtId="178" fontId="0" fillId="8" borderId="5" xfId="0" applyNumberFormat="1" applyFill="1" applyBorder="1" applyAlignment="1" applyProtection="1">
      <alignment vertical="center" wrapText="1"/>
      <protection locked="0"/>
    </xf>
    <xf numFmtId="0" fontId="0" fillId="8" borderId="5" xfId="0" applyFill="1" applyBorder="1" applyProtection="1">
      <alignment vertical="center"/>
      <protection locked="0"/>
    </xf>
    <xf numFmtId="0" fontId="0" fillId="3" borderId="2" xfId="0" applyNumberFormat="1" applyFill="1" applyBorder="1" applyAlignment="1" applyProtection="1">
      <alignment horizontal="center" vertical="center"/>
      <protection locked="0"/>
    </xf>
    <xf numFmtId="0" fontId="0" fillId="3" borderId="2" xfId="0" applyNumberFormat="1" applyFill="1" applyBorder="1" applyAlignment="1" applyProtection="1">
      <alignment horizontal="center" vertical="center" wrapText="1"/>
      <protection locked="0"/>
    </xf>
    <xf numFmtId="0" fontId="0" fillId="3" borderId="2" xfId="0" applyNumberFormat="1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177" fontId="0" fillId="6" borderId="1" xfId="0" applyNumberFormat="1" applyFill="1" applyBorder="1" applyAlignment="1" applyProtection="1">
      <alignment horizontal="center" vertical="center" wrapText="1"/>
      <protection locked="0"/>
    </xf>
    <xf numFmtId="10" fontId="0" fillId="6" borderId="1" xfId="0" applyNumberFormat="1" applyFill="1" applyBorder="1" applyAlignment="1" applyProtection="1">
      <alignment horizontal="center" vertical="center" wrapText="1"/>
      <protection locked="0"/>
    </xf>
    <xf numFmtId="9" fontId="0" fillId="6" borderId="1" xfId="0" applyNumberFormat="1" applyFill="1" applyBorder="1" applyAlignment="1" applyProtection="1">
      <alignment horizontal="center" vertical="center" wrapText="1"/>
      <protection locked="0"/>
    </xf>
    <xf numFmtId="176" fontId="0" fillId="3" borderId="1" xfId="0" applyNumberFormat="1" applyFill="1" applyBorder="1" applyAlignment="1" applyProtection="1">
      <alignment horizontal="center" vertical="center" wrapText="1"/>
      <protection locked="0"/>
    </xf>
    <xf numFmtId="9" fontId="0" fillId="6" borderId="2" xfId="0" applyNumberFormat="1" applyFill="1" applyBorder="1" applyAlignment="1" applyProtection="1">
      <alignment horizontal="center" vertical="center" wrapText="1"/>
      <protection locked="0"/>
    </xf>
    <xf numFmtId="176" fontId="0" fillId="8" borderId="6" xfId="0" applyNumberFormat="1" applyFill="1" applyBorder="1" applyAlignment="1" applyProtection="1">
      <alignment horizontal="center" vertical="center" wrapText="1"/>
    </xf>
    <xf numFmtId="180" fontId="0" fillId="3" borderId="1" xfId="0" applyNumberFormat="1" applyFill="1" applyBorder="1" applyAlignment="1" applyProtection="1">
      <alignment horizontal="center" vertical="center"/>
    </xf>
    <xf numFmtId="180" fontId="0" fillId="3" borderId="2" xfId="0" applyNumberFormat="1" applyFill="1" applyBorder="1" applyProtection="1">
      <alignment vertical="center"/>
      <protection locked="0"/>
    </xf>
    <xf numFmtId="9" fontId="0" fillId="3" borderId="1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alignment vertical="center"/>
      <protection locked="0"/>
    </xf>
    <xf numFmtId="180" fontId="0" fillId="3" borderId="1" xfId="0" applyNumberFormat="1" applyFill="1" applyBorder="1" applyAlignment="1" applyProtection="1">
      <alignment horizontal="center" vertical="center"/>
      <protection locked="0"/>
    </xf>
    <xf numFmtId="180" fontId="0" fillId="8" borderId="6" xfId="0" applyNumberForma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 wrapText="1"/>
      <protection locked="0"/>
    </xf>
    <xf numFmtId="178" fontId="0" fillId="3" borderId="1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179" fontId="0" fillId="3" borderId="1" xfId="0" applyNumberFormat="1" applyFill="1" applyBorder="1" applyProtection="1">
      <alignment vertical="center"/>
      <protection locked="0"/>
    </xf>
    <xf numFmtId="179" fontId="0" fillId="8" borderId="6" xfId="0" applyNumberFormat="1" applyFill="1" applyBorder="1" applyProtection="1">
      <alignment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1" xfId="0" applyFont="1" applyFill="1" applyBorder="1">
      <alignment vertical="center"/>
    </xf>
    <xf numFmtId="0" fontId="12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7" fillId="9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4.4" x14ac:dyDescent="0.25"/>
  <cols>
    <col min="1" max="1" width="134.77734375" customWidth="1"/>
  </cols>
  <sheetData>
    <row r="1" spans="1:1" ht="313.2" customHeight="1" x14ac:dyDescent="0.25">
      <c r="A1" s="1" t="s">
        <v>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abSelected="1" zoomScale="55" zoomScaleNormal="55" workbookViewId="0">
      <selection activeCell="P19" sqref="P19"/>
    </sheetView>
  </sheetViews>
  <sheetFormatPr defaultRowHeight="14.4" x14ac:dyDescent="0.25"/>
  <cols>
    <col min="1" max="1" width="5.77734375" style="15" customWidth="1"/>
    <col min="2" max="2" width="7" style="15" customWidth="1"/>
    <col min="3" max="6" width="9.109375" style="15" customWidth="1"/>
    <col min="7" max="7" width="11.44140625" style="15" customWidth="1"/>
    <col min="8" max="9" width="9.109375" style="15" customWidth="1"/>
    <col min="10" max="10" width="9.77734375" style="15" customWidth="1"/>
    <col min="11" max="11" width="10.77734375" style="15" customWidth="1"/>
    <col min="12" max="12" width="11.6640625" style="15" customWidth="1"/>
    <col min="13" max="13" width="18.44140625" style="15" customWidth="1"/>
    <col min="14" max="15" width="9.5546875" style="15" customWidth="1"/>
    <col min="16" max="19" width="13" style="15" customWidth="1"/>
    <col min="20" max="20" width="8.88671875" style="15" customWidth="1"/>
    <col min="21" max="21" width="8.88671875" style="15"/>
    <col min="22" max="22" width="10.88671875" style="15" hidden="1" customWidth="1"/>
    <col min="23" max="23" width="10.88671875" style="15" customWidth="1"/>
    <col min="24" max="25" width="10.88671875" style="15" hidden="1" customWidth="1"/>
    <col min="26" max="26" width="12.5546875" style="15" hidden="1" customWidth="1"/>
    <col min="27" max="27" width="11.109375" style="15" customWidth="1"/>
    <col min="28" max="28" width="9.77734375" style="15" customWidth="1"/>
    <col min="29" max="29" width="10.6640625" style="15" customWidth="1"/>
    <col min="30" max="30" width="11.77734375" style="15" customWidth="1"/>
    <col min="31" max="31" width="12.88671875" style="15" customWidth="1"/>
    <col min="32" max="16384" width="8.88671875" style="15"/>
  </cols>
  <sheetData>
    <row r="1" spans="1:36" s="17" customFormat="1" ht="63.6" customHeight="1" x14ac:dyDescent="0.25">
      <c r="A1" s="54" t="s">
        <v>4</v>
      </c>
      <c r="B1" s="38" t="s">
        <v>1</v>
      </c>
      <c r="C1" s="38" t="s">
        <v>2</v>
      </c>
      <c r="D1" s="38" t="s">
        <v>11</v>
      </c>
      <c r="E1" s="38" t="s">
        <v>12</v>
      </c>
      <c r="F1" s="38" t="s">
        <v>3</v>
      </c>
      <c r="G1" s="40" t="s">
        <v>6</v>
      </c>
      <c r="H1" s="40" t="s">
        <v>13</v>
      </c>
      <c r="I1" s="40" t="s">
        <v>14</v>
      </c>
      <c r="J1" s="65" t="s">
        <v>39</v>
      </c>
      <c r="K1" s="66" t="s">
        <v>15</v>
      </c>
      <c r="L1" s="66" t="s">
        <v>16</v>
      </c>
      <c r="M1" s="66" t="s">
        <v>156</v>
      </c>
      <c r="N1" s="66" t="s">
        <v>153</v>
      </c>
      <c r="O1" s="66" t="s">
        <v>95</v>
      </c>
      <c r="P1" s="65" t="s">
        <v>17</v>
      </c>
      <c r="Q1" s="38" t="s">
        <v>5</v>
      </c>
      <c r="R1" s="38" t="s">
        <v>23</v>
      </c>
      <c r="S1" s="38" t="s">
        <v>18</v>
      </c>
      <c r="T1" s="38" t="s">
        <v>41</v>
      </c>
      <c r="U1" s="40" t="s">
        <v>10</v>
      </c>
      <c r="V1" s="38" t="s">
        <v>97</v>
      </c>
      <c r="W1" s="40" t="s">
        <v>96</v>
      </c>
      <c r="X1" s="38" t="s">
        <v>99</v>
      </c>
      <c r="Y1" s="66" t="s">
        <v>34</v>
      </c>
      <c r="Z1" s="38" t="s">
        <v>28</v>
      </c>
      <c r="AA1" s="38" t="s">
        <v>98</v>
      </c>
      <c r="AB1" s="16"/>
      <c r="AC1" s="16"/>
      <c r="AD1" s="16"/>
      <c r="AE1" s="16"/>
      <c r="AF1" s="16"/>
      <c r="AG1" s="16"/>
      <c r="AH1" s="16"/>
      <c r="AI1" s="16"/>
      <c r="AJ1" s="16"/>
    </row>
    <row r="2" spans="1:36" ht="57.6" x14ac:dyDescent="0.25">
      <c r="A2" s="68">
        <v>1</v>
      </c>
      <c r="B2" s="65" t="s">
        <v>24</v>
      </c>
      <c r="C2" s="65" t="s">
        <v>25</v>
      </c>
      <c r="D2" s="65">
        <v>120</v>
      </c>
      <c r="E2" s="65">
        <v>20000</v>
      </c>
      <c r="F2" s="65" t="s">
        <v>7</v>
      </c>
      <c r="G2" s="66" t="s">
        <v>8</v>
      </c>
      <c r="H2" s="66">
        <v>4</v>
      </c>
      <c r="I2" s="66">
        <v>8760</v>
      </c>
      <c r="J2" s="65" t="s">
        <v>40</v>
      </c>
      <c r="K2" s="66">
        <v>3000</v>
      </c>
      <c r="L2" s="66">
        <v>1</v>
      </c>
      <c r="M2" s="66" t="s">
        <v>38</v>
      </c>
      <c r="N2" s="69">
        <v>54</v>
      </c>
      <c r="O2" s="70">
        <v>0.95</v>
      </c>
      <c r="P2" s="65">
        <v>40</v>
      </c>
      <c r="Q2" s="65">
        <v>3</v>
      </c>
      <c r="R2" s="65">
        <v>18.3</v>
      </c>
      <c r="S2" s="65">
        <v>1200</v>
      </c>
      <c r="T2" s="65" t="s">
        <v>42</v>
      </c>
      <c r="U2" s="71">
        <v>0.98</v>
      </c>
      <c r="V2" s="65">
        <f>K2*L2*O2*(N2/22.4)*(1-U2)*10^-3</f>
        <v>0.13741071428571441</v>
      </c>
      <c r="W2" s="66">
        <v>1</v>
      </c>
      <c r="X2" s="65">
        <f>V2*W2</f>
        <v>0.13741071428571441</v>
      </c>
      <c r="Y2" s="66">
        <f>VLOOKUP(G2,相关系数取值!$A$3:$B$7,2,0)</f>
        <v>1.76E-4</v>
      </c>
      <c r="Z2" s="65">
        <f>H2*I2*Y2*10^-3</f>
        <v>6.1670400000000004E-3</v>
      </c>
      <c r="AA2" s="20">
        <f>V2*W2+Z2</f>
        <v>0.14357775428571443</v>
      </c>
      <c r="AB2" s="18"/>
      <c r="AC2" s="18"/>
      <c r="AD2" s="18"/>
      <c r="AE2" s="18"/>
      <c r="AF2" s="18"/>
      <c r="AG2" s="18"/>
      <c r="AH2" s="18"/>
      <c r="AI2" s="18"/>
      <c r="AJ2" s="18"/>
    </row>
    <row r="3" spans="1:36" ht="32.4" customHeight="1" x14ac:dyDescent="0.25">
      <c r="A3" s="68">
        <v>2</v>
      </c>
      <c r="B3" s="65"/>
      <c r="C3" s="65"/>
      <c r="D3" s="65"/>
      <c r="E3" s="65"/>
      <c r="F3" s="65"/>
      <c r="G3" s="66"/>
      <c r="H3" s="66"/>
      <c r="I3" s="66"/>
      <c r="J3" s="65"/>
      <c r="K3" s="66"/>
      <c r="L3" s="66"/>
      <c r="M3" s="66"/>
      <c r="N3" s="69"/>
      <c r="O3" s="70"/>
      <c r="P3" s="65"/>
      <c r="Q3" s="65"/>
      <c r="R3" s="65"/>
      <c r="S3" s="65"/>
      <c r="T3" s="65"/>
      <c r="U3" s="71"/>
      <c r="V3" s="65"/>
      <c r="W3" s="66"/>
      <c r="X3" s="65"/>
      <c r="Y3" s="66"/>
      <c r="Z3" s="65"/>
      <c r="AA3" s="72"/>
      <c r="AB3" s="18"/>
      <c r="AC3" s="18"/>
      <c r="AD3" s="18"/>
      <c r="AE3" s="18"/>
      <c r="AF3" s="18"/>
      <c r="AG3" s="18"/>
      <c r="AH3" s="18"/>
      <c r="AI3" s="18"/>
      <c r="AJ3" s="18"/>
    </row>
    <row r="4" spans="1:36" ht="23.4" customHeight="1" thickBot="1" x14ac:dyDescent="0.3">
      <c r="A4" s="54">
        <v>3</v>
      </c>
      <c r="B4" s="38"/>
      <c r="C4" s="38"/>
      <c r="D4" s="38"/>
      <c r="E4" s="38"/>
      <c r="F4" s="38"/>
      <c r="G4" s="40"/>
      <c r="H4" s="40"/>
      <c r="I4" s="40"/>
      <c r="J4" s="38"/>
      <c r="K4" s="40"/>
      <c r="L4" s="40"/>
      <c r="M4" s="40"/>
      <c r="N4" s="40"/>
      <c r="O4" s="41"/>
      <c r="P4" s="38"/>
      <c r="Q4" s="38"/>
      <c r="R4" s="38"/>
      <c r="S4" s="38"/>
      <c r="T4" s="38"/>
      <c r="U4" s="73"/>
      <c r="V4" s="38"/>
      <c r="W4" s="40"/>
      <c r="X4" s="38"/>
      <c r="Y4" s="66"/>
      <c r="Z4" s="38"/>
      <c r="AA4" s="55"/>
      <c r="AB4" s="18"/>
      <c r="AC4" s="18"/>
      <c r="AD4" s="18"/>
      <c r="AE4" s="18"/>
      <c r="AF4" s="18"/>
      <c r="AG4" s="18"/>
      <c r="AH4" s="18"/>
      <c r="AI4" s="18"/>
      <c r="AJ4" s="18"/>
    </row>
    <row r="5" spans="1:36" ht="21" customHeight="1" thickTop="1" x14ac:dyDescent="0.25">
      <c r="A5" s="46" t="s">
        <v>43</v>
      </c>
      <c r="B5" s="47"/>
      <c r="C5" s="47"/>
      <c r="D5" s="47"/>
      <c r="E5" s="47"/>
      <c r="F5" s="47"/>
      <c r="G5" s="48"/>
      <c r="H5" s="47"/>
      <c r="I5" s="47"/>
      <c r="J5" s="48"/>
      <c r="K5" s="47"/>
      <c r="L5" s="47"/>
      <c r="M5" s="47"/>
      <c r="N5" s="47"/>
      <c r="O5" s="56"/>
      <c r="P5" s="47"/>
      <c r="Q5" s="48"/>
      <c r="R5" s="48"/>
      <c r="S5" s="47"/>
      <c r="T5" s="47"/>
      <c r="U5" s="51"/>
      <c r="V5" s="57"/>
      <c r="W5" s="47"/>
      <c r="X5" s="47"/>
      <c r="Y5" s="47"/>
      <c r="Z5" s="47"/>
      <c r="AA5" s="74">
        <f>SUM(AA2:AA4)</f>
        <v>0.14357775428571443</v>
      </c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94" t="s">
        <v>124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36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36" x14ac:dyDescent="0.25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spans="1:36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36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36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36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36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36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spans="1:36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36" x14ac:dyDescent="0.25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</sheetData>
  <sheetProtection password="FADC" sheet="1" objects="1" scenarios="1" formatCells="0" formatColumns="0" formatRows="0" insertColumns="0" insertRows="0" insertHyperlinks="0" deleteColumns="0" deleteRows="0"/>
  <mergeCells count="3">
    <mergeCell ref="A6:AA6"/>
    <mergeCell ref="A7:AA7"/>
    <mergeCell ref="A8:AA8"/>
  </mergeCells>
  <phoneticPr fontId="1" type="noConversion"/>
  <dataValidations count="18">
    <dataValidation type="list" allowBlank="1" showInputMessage="1" showErrorMessage="1" sqref="U2:U4">
      <formula1>"98%,93%,80%,0%"</formula1>
    </dataValidation>
    <dataValidation type="list" allowBlank="1" showInputMessage="1" showErrorMessage="1" sqref="F2:F4">
      <formula1>"无助燃,蒸汽助燃,空气助燃"</formula1>
    </dataValidation>
    <dataValidation type="list" allowBlank="1" showInputMessage="1" showErrorMessage="1" sqref="J2:J4">
      <formula1>"第1次,第2次,第3次,第4次,第5次,第6次,第7次,第8次,第9次,第10次"</formula1>
    </dataValidation>
    <dataValidation type="list" allowBlank="1" showInputMessage="1" showErrorMessage="1" sqref="T2:T4">
      <formula1>"正常,非正常,故障"</formula1>
    </dataValidation>
    <dataValidation allowBlank="1" showInputMessage="1" showErrorMessage="1" prompt="选填" sqref="P5 R5"/>
    <dataValidation allowBlank="1" showInputMessage="1" showErrorMessage="1" prompt="当火炬按每次排放的情况相同时计算的总量" sqref="AA5"/>
    <dataValidation allowBlank="1" showInputMessage="1" showErrorMessage="1" prompt="选填，只适用于蒸汽助燃火炬" sqref="Q5"/>
    <dataValidation allowBlank="1" showInputMessage="1" showErrorMessage="1" prompt="必填项，为排放源的基本信息" sqref="B1:F1"/>
    <dataValidation allowBlank="1" showInputMessage="1" showErrorMessage="1" prompt="必填项，为火炬燃烧的基本信息" sqref="S1:T1"/>
    <dataValidation allowBlank="1" showInputMessage="1" showErrorMessage="1" prompt="必填项，为判断火炬燃烧效率的辅助参数" sqref="R1"/>
    <dataValidation allowBlank="1" showInputMessage="1" showErrorMessage="1" prompt="VOCs排放量中包含计算公式，不能删除；当排放源的数据填写完整后将其拷贝至同一列的相应位置即可" sqref="AA1"/>
    <dataValidation allowBlank="1" showInputMessage="1" showErrorMessage="1" prompt="必填项，与计算有关的参数" sqref="K1:O1 U1 G1:I1 Y1"/>
    <dataValidation allowBlank="1" showInputMessage="1" showErrorMessage="1" prompt="必填项，为判断火炬燃烧效率的辅助参数，只适用于蒸汽助燃火炬" sqref="Q1"/>
    <dataValidation allowBlank="1" showInputMessage="1" showErrorMessage="1" prompt="必填项，与计算有关的参数。当火炬每次排放情况不同、单独计算每次的排放量时，填1" sqref="W1"/>
    <dataValidation allowBlank="1" showInputMessage="1" showErrorMessage="1" prompt="单独计算每次火炬的排放量时必填项，为排放源的基本信息" sqref="J1"/>
    <dataValidation allowBlank="1" showInputMessage="1" showErrorMessage="1" prompt="包含计算公式，计算时拷贝至所需单元格" sqref="AA2"/>
    <dataValidation allowBlank="1" showInputMessage="1" showErrorMessage="1" prompt="程序自动填充数据，填写时拷贝至所需单元格" sqref="Y2:Y4"/>
    <dataValidation allowBlank="1" showInputMessage="1" showErrorMessage="1" prompt="必填项，为判断火炬燃烧效率的辅助参数" sqref="P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相关系数取值!$A$3:$A$7</xm:f>
          </x14:formula1>
          <xm:sqref>G2:G5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opLeftCell="D1" zoomScale="70" zoomScaleNormal="70" workbookViewId="0">
      <selection activeCell="T21" sqref="T21"/>
    </sheetView>
  </sheetViews>
  <sheetFormatPr defaultRowHeight="14.4" x14ac:dyDescent="0.25"/>
  <cols>
    <col min="1" max="1" width="5.77734375" style="15" customWidth="1"/>
    <col min="2" max="2" width="10.44140625" style="15" customWidth="1"/>
    <col min="3" max="3" width="9.88671875" style="15" customWidth="1"/>
    <col min="4" max="5" width="9.109375" style="15" customWidth="1"/>
    <col min="6" max="6" width="9.5546875" style="15" customWidth="1"/>
    <col min="7" max="7" width="9.109375" style="15" customWidth="1"/>
    <col min="8" max="8" width="10.21875" style="15" customWidth="1"/>
    <col min="9" max="9" width="9.109375" style="15" customWidth="1"/>
    <col min="10" max="10" width="8.77734375" style="15" customWidth="1"/>
    <col min="11" max="11" width="13.21875" style="15" customWidth="1"/>
    <col min="12" max="12" width="13.6640625" style="15" customWidth="1"/>
    <col min="13" max="13" width="14.88671875" style="15" customWidth="1"/>
    <col min="14" max="14" width="8.21875" style="15" customWidth="1"/>
    <col min="15" max="17" width="10.44140625" style="15" customWidth="1"/>
    <col min="18" max="18" width="11" style="15" customWidth="1"/>
    <col min="19" max="19" width="11" style="15" hidden="1" customWidth="1"/>
    <col min="20" max="20" width="11" style="15" customWidth="1"/>
    <col min="21" max="21" width="12.109375" style="15" hidden="1" customWidth="1"/>
    <col min="22" max="22" width="12.6640625" style="15" hidden="1" customWidth="1"/>
    <col min="23" max="23" width="14.33203125" style="15" hidden="1" customWidth="1"/>
    <col min="24" max="24" width="12" style="15" customWidth="1"/>
    <col min="25" max="16384" width="8.88671875" style="15"/>
  </cols>
  <sheetData>
    <row r="1" spans="1:31" ht="52.2" customHeight="1" x14ac:dyDescent="0.25">
      <c r="A1" s="54" t="s">
        <v>0</v>
      </c>
      <c r="B1" s="38" t="s">
        <v>1</v>
      </c>
      <c r="C1" s="38" t="s">
        <v>2</v>
      </c>
      <c r="D1" s="38" t="s">
        <v>11</v>
      </c>
      <c r="E1" s="38" t="s">
        <v>12</v>
      </c>
      <c r="F1" s="38" t="s">
        <v>3</v>
      </c>
      <c r="G1" s="40" t="s">
        <v>6</v>
      </c>
      <c r="H1" s="40" t="s">
        <v>13</v>
      </c>
      <c r="I1" s="40" t="s">
        <v>14</v>
      </c>
      <c r="J1" s="65" t="s">
        <v>39</v>
      </c>
      <c r="K1" s="66" t="s">
        <v>15</v>
      </c>
      <c r="L1" s="66" t="s">
        <v>16</v>
      </c>
      <c r="M1" s="66" t="s">
        <v>17</v>
      </c>
      <c r="N1" s="38" t="s">
        <v>5</v>
      </c>
      <c r="O1" s="38" t="s">
        <v>23</v>
      </c>
      <c r="P1" s="38" t="s">
        <v>18</v>
      </c>
      <c r="Q1" s="38" t="s">
        <v>30</v>
      </c>
      <c r="R1" s="66" t="s">
        <v>31</v>
      </c>
      <c r="S1" s="65" t="s">
        <v>102</v>
      </c>
      <c r="T1" s="40" t="s">
        <v>36</v>
      </c>
      <c r="U1" s="65" t="s">
        <v>27</v>
      </c>
      <c r="V1" s="66" t="s">
        <v>34</v>
      </c>
      <c r="W1" s="65" t="s">
        <v>32</v>
      </c>
      <c r="X1" s="38" t="s">
        <v>98</v>
      </c>
    </row>
    <row r="2" spans="1:31" x14ac:dyDescent="0.25">
      <c r="A2" s="68">
        <v>1</v>
      </c>
      <c r="B2" s="65" t="s">
        <v>33</v>
      </c>
      <c r="C2" s="65" t="s">
        <v>25</v>
      </c>
      <c r="D2" s="65">
        <v>120</v>
      </c>
      <c r="E2" s="65">
        <v>20000</v>
      </c>
      <c r="F2" s="65" t="s">
        <v>7</v>
      </c>
      <c r="G2" s="66" t="s">
        <v>8</v>
      </c>
      <c r="H2" s="66">
        <v>4</v>
      </c>
      <c r="I2" s="66">
        <v>8760</v>
      </c>
      <c r="J2" s="65" t="s">
        <v>40</v>
      </c>
      <c r="K2" s="66">
        <v>600</v>
      </c>
      <c r="L2" s="66">
        <v>0.5</v>
      </c>
      <c r="M2" s="66">
        <v>45</v>
      </c>
      <c r="N2" s="65">
        <v>3</v>
      </c>
      <c r="O2" s="65">
        <v>18.3</v>
      </c>
      <c r="P2" s="65">
        <v>1200</v>
      </c>
      <c r="Q2" s="77">
        <v>1</v>
      </c>
      <c r="R2" s="66">
        <v>6.02E-5</v>
      </c>
      <c r="S2" s="78">
        <f>K2*L2*M2*R2*10^-3</f>
        <v>8.1269999999999997E-4</v>
      </c>
      <c r="T2" s="66">
        <v>1</v>
      </c>
      <c r="U2" s="65">
        <f>S2*T2</f>
        <v>8.1269999999999997E-4</v>
      </c>
      <c r="V2" s="66">
        <f>VLOOKUP(G2,相关系数取值!$A$3:$B$7,2,0)</f>
        <v>1.76E-4</v>
      </c>
      <c r="W2" s="79">
        <f>H2*I2*V2*10^-3</f>
        <v>6.1670400000000004E-3</v>
      </c>
      <c r="X2" s="75">
        <f>U2+W2</f>
        <v>6.9797399999999999E-3</v>
      </c>
    </row>
    <row r="3" spans="1:31" x14ac:dyDescent="0.25">
      <c r="A3" s="68">
        <v>2</v>
      </c>
      <c r="B3" s="65"/>
      <c r="C3" s="65"/>
      <c r="D3" s="65"/>
      <c r="E3" s="65"/>
      <c r="F3" s="65"/>
      <c r="G3" s="66"/>
      <c r="H3" s="66"/>
      <c r="I3" s="66"/>
      <c r="J3" s="65"/>
      <c r="K3" s="66"/>
      <c r="L3" s="66"/>
      <c r="M3" s="66"/>
      <c r="N3" s="65"/>
      <c r="O3" s="65"/>
      <c r="P3" s="65"/>
      <c r="Q3" s="77"/>
      <c r="R3" s="66"/>
      <c r="S3" s="78"/>
      <c r="T3" s="66"/>
      <c r="U3" s="65"/>
      <c r="V3" s="66"/>
      <c r="W3" s="79"/>
      <c r="X3" s="80"/>
    </row>
    <row r="4" spans="1:31" ht="15" thickBot="1" x14ac:dyDescent="0.3">
      <c r="A4" s="54">
        <v>3</v>
      </c>
      <c r="B4" s="36"/>
      <c r="C4" s="36"/>
      <c r="D4" s="38"/>
      <c r="E4" s="38"/>
      <c r="F4" s="65"/>
      <c r="G4" s="40"/>
      <c r="H4" s="40"/>
      <c r="I4" s="40"/>
      <c r="J4" s="38"/>
      <c r="K4" s="39"/>
      <c r="L4" s="39"/>
      <c r="M4" s="39"/>
      <c r="N4" s="36"/>
      <c r="O4" s="36"/>
      <c r="P4" s="38"/>
      <c r="Q4" s="58"/>
      <c r="R4" s="66"/>
      <c r="S4" s="64"/>
      <c r="T4" s="39"/>
      <c r="U4" s="36"/>
      <c r="V4" s="66"/>
      <c r="W4" s="59"/>
      <c r="X4" s="76"/>
    </row>
    <row r="5" spans="1:31" ht="15" thickTop="1" x14ac:dyDescent="0.25">
      <c r="A5" s="46" t="s">
        <v>43</v>
      </c>
      <c r="B5" s="47"/>
      <c r="C5" s="47"/>
      <c r="D5" s="47"/>
      <c r="E5" s="47"/>
      <c r="F5" s="47"/>
      <c r="G5" s="48"/>
      <c r="H5" s="47"/>
      <c r="I5" s="47"/>
      <c r="J5" s="48"/>
      <c r="K5" s="47"/>
      <c r="L5" s="47"/>
      <c r="M5" s="47"/>
      <c r="N5" s="47"/>
      <c r="O5" s="47"/>
      <c r="P5" s="47"/>
      <c r="Q5" s="51"/>
      <c r="R5" s="47"/>
      <c r="S5" s="60"/>
      <c r="T5" s="47"/>
      <c r="U5" s="47"/>
      <c r="V5" s="61"/>
      <c r="W5" s="61"/>
      <c r="X5" s="81">
        <f>SUM(X2:X4)</f>
        <v>6.9797399999999999E-3</v>
      </c>
    </row>
    <row r="6" spans="1:31" x14ac:dyDescent="0.25">
      <c r="A6" s="94" t="s">
        <v>124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19"/>
      <c r="AC6" s="19"/>
      <c r="AE6" s="28"/>
    </row>
    <row r="7" spans="1:31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31" x14ac:dyDescent="0.25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spans="1:3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31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3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31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3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31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31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31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2:21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2:21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2:21" x14ac:dyDescent="0.25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</sheetData>
  <sheetProtection password="FADC" sheet="1" objects="1" scenarios="1" formatCells="0" formatColumns="0" formatRows="0" insertColumns="0" insertRows="0" insertHyperlinks="0" deleteColumns="0" deleteRows="0"/>
  <mergeCells count="3">
    <mergeCell ref="A6:AA6"/>
    <mergeCell ref="A7:AA7"/>
    <mergeCell ref="A8:AA8"/>
  </mergeCells>
  <phoneticPr fontId="1" type="noConversion"/>
  <dataValidations count="18">
    <dataValidation type="list" allowBlank="1" showInputMessage="1" showErrorMessage="1" sqref="F2:F4">
      <formula1>"无助燃,蒸汽助燃,空气助燃"</formula1>
    </dataValidation>
    <dataValidation type="list" allowBlank="1" showInputMessage="1" showErrorMessage="1" sqref="R2:R4">
      <formula1>"0.0000602"</formula1>
    </dataValidation>
    <dataValidation type="list" allowBlank="1" showInputMessage="1" showErrorMessage="1" sqref="AE6">
      <formula1>"98%,93%,80%,0%"</formula1>
    </dataValidation>
    <dataValidation type="list" allowBlank="1" showInputMessage="1" showErrorMessage="1" sqref="J2:J4">
      <formula1>"第1次,第2次,第3次,第4次,第5次,第6次,第7次,第8次,第9次,第10次"</formula1>
    </dataValidation>
    <dataValidation allowBlank="1" showInputMessage="1" showErrorMessage="1" prompt="必填项，为排放源的基本信息" sqref="B1:F1"/>
    <dataValidation allowBlank="1" showInputMessage="1" showErrorMessage="1" prompt="选填，只适用于蒸汽助燃火炬" sqref="N5"/>
    <dataValidation allowBlank="1" showInputMessage="1" showErrorMessage="1" prompt="选填" sqref="O5"/>
    <dataValidation allowBlank="1" showInputMessage="1" showErrorMessage="1" prompt="必填项，与计算有关的参数" sqref="G1:I1 U1:V1 R1:S1 K1:L1"/>
    <dataValidation allowBlank="1" showInputMessage="1" showErrorMessage="1" prompt="单独计算每次火炬的排放量时必填项，为排放源的基本信息" sqref="J1"/>
    <dataValidation allowBlank="1" showInputMessage="1" showErrorMessage="1" prompt="必填项，为判断火炬燃烧效率的辅助参数，只适用于蒸汽助燃火炬" sqref="N1"/>
    <dataValidation allowBlank="1" showInputMessage="1" showErrorMessage="1" prompt="必填项，为判断火炬燃烧效率的辅助参数" sqref="O1"/>
    <dataValidation allowBlank="1" showInputMessage="1" showErrorMessage="1" prompt="必填项，为火炬燃烧的基本信息" sqref="P1"/>
    <dataValidation allowBlank="1" showInputMessage="1" showErrorMessage="1" prompt="VOCs排放量中包含计算公式，不能删除；当排放源的数据填写完整后将其拷贝至同一列的相应位置即可" sqref="X1"/>
    <dataValidation allowBlank="1" showInputMessage="1" showErrorMessage="1" prompt="必填项，为火炬的基本信息" sqref="Q1"/>
    <dataValidation allowBlank="1" showInputMessage="1" showErrorMessage="1" prompt="必填项，与计算有关的参数。当火炬每次排放情况不同、单独计算每次的排放量时，填1" sqref="T1"/>
    <dataValidation allowBlank="1" showInputMessage="1" showErrorMessage="1" prompt="程序自动填充数据，填写时拷贝至所需单元格" sqref="V2:V4"/>
    <dataValidation allowBlank="1" showInputMessage="1" showErrorMessage="1" prompt="包含计算公式，计算时拷贝至所需单元格" sqref="X2"/>
    <dataValidation allowBlank="1" showInputMessage="1" showErrorMessage="1" prompt="必填项，与计算有关的参数，为火炬的低热值" sqref="M1"/>
  </dataValidations>
  <pageMargins left="0.7" right="0.7" top="0.75" bottom="0.75" header="0.3" footer="0.3"/>
  <pageSetup paperSize="9" orientation="portrait" r:id="rId1"/>
  <ignoredErrors>
    <ignoredError sqref="X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相关系数取值!$A$3:$A$7</xm:f>
          </x14:formula1>
          <xm:sqref>G2:G5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opLeftCell="O1" zoomScale="70" zoomScaleNormal="70" workbookViewId="0">
      <selection activeCell="AA11" sqref="AA11"/>
    </sheetView>
  </sheetViews>
  <sheetFormatPr defaultRowHeight="14.4" x14ac:dyDescent="0.25"/>
  <cols>
    <col min="1" max="1" width="5.77734375" style="15" customWidth="1"/>
    <col min="2" max="2" width="7" style="15" customWidth="1"/>
    <col min="3" max="11" width="9.109375" style="15" customWidth="1"/>
    <col min="12" max="12" width="8.77734375" style="15" customWidth="1"/>
    <col min="13" max="13" width="19.21875" style="15" customWidth="1"/>
    <col min="14" max="14" width="11.109375" style="15" customWidth="1"/>
    <col min="15" max="15" width="11.33203125" style="15" customWidth="1"/>
    <col min="16" max="16" width="10.77734375" style="15" customWidth="1"/>
    <col min="17" max="17" width="10.6640625" style="15" customWidth="1"/>
    <col min="18" max="18" width="12.44140625" style="15" hidden="1" customWidth="1"/>
    <col min="19" max="19" width="10.21875" style="15" customWidth="1"/>
    <col min="20" max="20" width="11" style="15" hidden="1" customWidth="1"/>
    <col min="21" max="21" width="11.21875" style="15" customWidth="1"/>
    <col min="22" max="23" width="11.109375" style="15" customWidth="1"/>
    <col min="24" max="25" width="9.77734375" style="15" customWidth="1"/>
    <col min="26" max="26" width="7.88671875" style="15" customWidth="1"/>
    <col min="27" max="27" width="9.88671875" style="15" customWidth="1"/>
    <col min="28" max="29" width="9.77734375" style="15" customWidth="1"/>
    <col min="30" max="30" width="7.5546875" style="15" customWidth="1"/>
    <col min="31" max="31" width="9.33203125" style="15" customWidth="1"/>
    <col min="32" max="32" width="10.44140625" style="15" customWidth="1"/>
    <col min="33" max="33" width="15.88671875" style="15" hidden="1" customWidth="1"/>
    <col min="34" max="34" width="12.33203125" style="15" hidden="1" customWidth="1"/>
    <col min="35" max="35" width="12.77734375" style="15" hidden="1" customWidth="1"/>
    <col min="36" max="37" width="10.5546875" style="15" hidden="1" customWidth="1"/>
    <col min="38" max="38" width="10.5546875" style="15" customWidth="1"/>
    <col min="39" max="39" width="10.5546875" style="15" hidden="1" customWidth="1"/>
    <col min="40" max="40" width="12.109375" style="15" hidden="1" customWidth="1"/>
    <col min="41" max="41" width="11.6640625" style="15" hidden="1" customWidth="1"/>
    <col min="42" max="42" width="11" style="15" customWidth="1"/>
    <col min="43" max="16384" width="8.88671875" style="15"/>
  </cols>
  <sheetData>
    <row r="1" spans="1:42" ht="63.6" customHeight="1" x14ac:dyDescent="0.25">
      <c r="A1" s="35" t="s">
        <v>0</v>
      </c>
      <c r="B1" s="38" t="s">
        <v>1</v>
      </c>
      <c r="C1" s="38" t="s">
        <v>2</v>
      </c>
      <c r="D1" s="38" t="s">
        <v>11</v>
      </c>
      <c r="E1" s="38" t="s">
        <v>12</v>
      </c>
      <c r="F1" s="43" t="s">
        <v>19</v>
      </c>
      <c r="G1" s="43" t="s">
        <v>20</v>
      </c>
      <c r="H1" s="38" t="s">
        <v>3</v>
      </c>
      <c r="I1" s="40" t="s">
        <v>6</v>
      </c>
      <c r="J1" s="40" t="s">
        <v>13</v>
      </c>
      <c r="K1" s="40" t="s">
        <v>14</v>
      </c>
      <c r="L1" s="65" t="s">
        <v>39</v>
      </c>
      <c r="M1" s="66" t="s">
        <v>156</v>
      </c>
      <c r="N1" s="66" t="s">
        <v>91</v>
      </c>
      <c r="O1" s="66" t="s">
        <v>125</v>
      </c>
      <c r="P1" s="40" t="s">
        <v>37</v>
      </c>
      <c r="Q1" s="66" t="s">
        <v>116</v>
      </c>
      <c r="R1" s="65" t="s">
        <v>117</v>
      </c>
      <c r="S1" s="66" t="s">
        <v>118</v>
      </c>
      <c r="T1" s="65" t="s">
        <v>119</v>
      </c>
      <c r="U1" s="40" t="s">
        <v>21</v>
      </c>
      <c r="V1" s="38" t="s">
        <v>29</v>
      </c>
      <c r="W1" s="40" t="s">
        <v>120</v>
      </c>
      <c r="X1" s="38" t="s">
        <v>22</v>
      </c>
      <c r="Y1" s="38" t="s">
        <v>17</v>
      </c>
      <c r="Z1" s="38" t="s">
        <v>5</v>
      </c>
      <c r="AA1" s="38" t="s">
        <v>23</v>
      </c>
      <c r="AB1" s="38" t="s">
        <v>18</v>
      </c>
      <c r="AC1" s="38" t="s">
        <v>41</v>
      </c>
      <c r="AD1" s="38" t="s">
        <v>30</v>
      </c>
      <c r="AE1" s="40" t="s">
        <v>10</v>
      </c>
      <c r="AF1" s="40" t="s">
        <v>150</v>
      </c>
      <c r="AG1" s="65" t="s">
        <v>122</v>
      </c>
      <c r="AH1" s="42" t="s">
        <v>9</v>
      </c>
      <c r="AI1" s="42" t="s">
        <v>26</v>
      </c>
      <c r="AJ1" s="38" t="s">
        <v>121</v>
      </c>
      <c r="AK1" s="38" t="s">
        <v>102</v>
      </c>
      <c r="AL1" s="66" t="s">
        <v>35</v>
      </c>
      <c r="AM1" s="38" t="s">
        <v>27</v>
      </c>
      <c r="AN1" s="66" t="s">
        <v>34</v>
      </c>
      <c r="AO1" s="38" t="s">
        <v>28</v>
      </c>
      <c r="AP1" s="38" t="s">
        <v>98</v>
      </c>
    </row>
    <row r="2" spans="1:42" ht="40.799999999999997" customHeight="1" x14ac:dyDescent="0.25">
      <c r="A2" s="82">
        <v>1</v>
      </c>
      <c r="B2" s="65" t="s">
        <v>24</v>
      </c>
      <c r="C2" s="65" t="s">
        <v>25</v>
      </c>
      <c r="D2" s="65">
        <v>120</v>
      </c>
      <c r="E2" s="65">
        <v>20000</v>
      </c>
      <c r="F2" s="67"/>
      <c r="G2" s="67"/>
      <c r="H2" s="65" t="s">
        <v>7</v>
      </c>
      <c r="I2" s="66" t="s">
        <v>8</v>
      </c>
      <c r="J2" s="66">
        <v>4</v>
      </c>
      <c r="K2" s="66">
        <v>8760</v>
      </c>
      <c r="L2" s="65" t="s">
        <v>40</v>
      </c>
      <c r="M2" s="66" t="s">
        <v>162</v>
      </c>
      <c r="N2" s="69">
        <v>23</v>
      </c>
      <c r="O2" s="70">
        <v>0.95650000000000002</v>
      </c>
      <c r="P2" s="66">
        <v>400</v>
      </c>
      <c r="Q2" s="66">
        <v>14.131</v>
      </c>
      <c r="R2" s="83">
        <f>Q2+0.101325</f>
        <v>14.232324999999999</v>
      </c>
      <c r="S2" s="66">
        <v>6.8900000000000003E-2</v>
      </c>
      <c r="T2" s="83">
        <f>S2+0.101325</f>
        <v>0.17022500000000002</v>
      </c>
      <c r="U2" s="66">
        <v>100</v>
      </c>
      <c r="V2" s="65">
        <f>(3.14/4)*(U2/1000)^2</f>
        <v>7.8500000000000011E-3</v>
      </c>
      <c r="W2" s="66">
        <v>0.5</v>
      </c>
      <c r="X2" s="65">
        <f>W2*3600</f>
        <v>1800</v>
      </c>
      <c r="Y2" s="65">
        <v>45</v>
      </c>
      <c r="Z2" s="65">
        <v>3</v>
      </c>
      <c r="AA2" s="65">
        <v>18.3</v>
      </c>
      <c r="AB2" s="65">
        <v>1200</v>
      </c>
      <c r="AC2" s="65" t="s">
        <v>42</v>
      </c>
      <c r="AD2" s="77">
        <v>1</v>
      </c>
      <c r="AE2" s="71">
        <v>0.98</v>
      </c>
      <c r="AF2" s="71" t="s">
        <v>160</v>
      </c>
      <c r="AG2" s="78">
        <f>VLOOKUP(AF2,相关系数取值!$A$32:$B$38,2,0)</f>
        <v>1.1499999999999999</v>
      </c>
      <c r="AH2" s="84">
        <f>T2*((AG2+1)/2)^(AG2/(AG2-1))</f>
        <v>0.29636135296483834</v>
      </c>
      <c r="AI2" s="84">
        <f>(2/(AG2-1)*((R2/T2)^((AG2-1)/AG2)-1))^0.5</f>
        <v>3.2275175601212105</v>
      </c>
      <c r="AJ2" s="84">
        <f>IF(R2&gt;AH2,1,AI2)</f>
        <v>1</v>
      </c>
      <c r="AK2" s="84">
        <f>10^-3*O2*V2*R2*10^6*((AG2*N2)/(8.314*10^3*(273.15+P2)))^0.5*X2*AJ2/(1+(AJ2^2*(AG2-1))/2)^((AG2+1)/(2*(AG2-1)))*(1-AE2)*AJ2</f>
        <v>4.9807058452826523</v>
      </c>
      <c r="AL2" s="85">
        <v>1</v>
      </c>
      <c r="AM2" s="84">
        <f>10^-3*O2*V2*R2*10^6*((AG2*N2)/(8.314*10^3*(273.15+P2)))^0.5*X2*AJ2/(1+(AJ2^2*(AG2-1))/2)^((AG2+1)/(2*(AG2-1)))*(1-AE2)*AL2</f>
        <v>4.9807058452826523</v>
      </c>
      <c r="AN2" s="66">
        <f>VLOOKUP(I2,相关系数取值!$A$3:$B$7,2,0)</f>
        <v>1.76E-4</v>
      </c>
      <c r="AO2" s="84">
        <f>J2*K2*AN2*10^-3</f>
        <v>6.1670400000000004E-3</v>
      </c>
      <c r="AP2" s="27">
        <f>AM2+AO2</f>
        <v>4.9868728852826525</v>
      </c>
    </row>
    <row r="3" spans="1:42" ht="16.2" customHeight="1" x14ac:dyDescent="0.25">
      <c r="A3" s="82">
        <v>2</v>
      </c>
      <c r="B3" s="65"/>
      <c r="C3" s="65"/>
      <c r="D3" s="65"/>
      <c r="E3" s="65"/>
      <c r="F3" s="67"/>
      <c r="G3" s="67"/>
      <c r="H3" s="65"/>
      <c r="I3" s="66"/>
      <c r="J3" s="66"/>
      <c r="K3" s="66"/>
      <c r="L3" s="65"/>
      <c r="M3" s="66"/>
      <c r="N3" s="69"/>
      <c r="O3" s="70"/>
      <c r="P3" s="66"/>
      <c r="Q3" s="66"/>
      <c r="R3" s="83"/>
      <c r="S3" s="66"/>
      <c r="T3" s="83"/>
      <c r="U3" s="66"/>
      <c r="V3" s="65"/>
      <c r="W3" s="66"/>
      <c r="X3" s="65"/>
      <c r="Y3" s="65"/>
      <c r="Z3" s="65"/>
      <c r="AA3" s="65"/>
      <c r="AB3" s="65"/>
      <c r="AC3" s="65"/>
      <c r="AD3" s="77"/>
      <c r="AE3" s="71"/>
      <c r="AF3" s="71"/>
      <c r="AG3" s="78"/>
      <c r="AH3" s="84"/>
      <c r="AI3" s="84"/>
      <c r="AJ3" s="84"/>
      <c r="AK3" s="84"/>
      <c r="AL3" s="85"/>
      <c r="AM3" s="84"/>
      <c r="AN3" s="66"/>
      <c r="AO3" s="84"/>
      <c r="AP3" s="86"/>
    </row>
    <row r="4" spans="1:42" ht="15" thickBot="1" x14ac:dyDescent="0.3">
      <c r="A4" s="35">
        <v>3</v>
      </c>
      <c r="B4" s="36"/>
      <c r="C4" s="36"/>
      <c r="D4" s="36"/>
      <c r="E4" s="36"/>
      <c r="F4" s="37"/>
      <c r="G4" s="37"/>
      <c r="H4" s="38"/>
      <c r="I4" s="40"/>
      <c r="J4" s="40"/>
      <c r="K4" s="40"/>
      <c r="L4" s="38"/>
      <c r="M4" s="40"/>
      <c r="N4" s="40"/>
      <c r="O4" s="41"/>
      <c r="P4" s="40"/>
      <c r="Q4" s="40"/>
      <c r="R4" s="42"/>
      <c r="S4" s="40"/>
      <c r="T4" s="42"/>
      <c r="U4" s="40"/>
      <c r="V4" s="38"/>
      <c r="W4" s="40"/>
      <c r="X4" s="38"/>
      <c r="Y4" s="38"/>
      <c r="Z4" s="36"/>
      <c r="AA4" s="38"/>
      <c r="AB4" s="38"/>
      <c r="AC4" s="38"/>
      <c r="AD4" s="58"/>
      <c r="AE4" s="71"/>
      <c r="AF4" s="71"/>
      <c r="AG4" s="63"/>
      <c r="AH4" s="62"/>
      <c r="AI4" s="62"/>
      <c r="AJ4" s="62"/>
      <c r="AK4" s="62"/>
      <c r="AL4" s="44"/>
      <c r="AM4" s="62"/>
      <c r="AN4" s="66"/>
      <c r="AO4" s="62"/>
      <c r="AP4" s="45"/>
    </row>
    <row r="5" spans="1:42" ht="25.2" customHeight="1" thickTop="1" x14ac:dyDescent="0.25">
      <c r="A5" s="46" t="s">
        <v>123</v>
      </c>
      <c r="B5" s="47"/>
      <c r="C5" s="47"/>
      <c r="D5" s="47"/>
      <c r="E5" s="47"/>
      <c r="F5" s="47"/>
      <c r="G5" s="47"/>
      <c r="H5" s="47"/>
      <c r="I5" s="48"/>
      <c r="J5" s="47"/>
      <c r="K5" s="47"/>
      <c r="L5" s="48"/>
      <c r="M5" s="48"/>
      <c r="N5" s="48"/>
      <c r="O5" s="49"/>
      <c r="P5" s="48"/>
      <c r="Q5" s="48"/>
      <c r="R5" s="50"/>
      <c r="S5" s="48"/>
      <c r="T5" s="50"/>
      <c r="U5" s="48"/>
      <c r="V5" s="48"/>
      <c r="W5" s="48"/>
      <c r="X5" s="48"/>
      <c r="Y5" s="48"/>
      <c r="Z5" s="47"/>
      <c r="AA5" s="48"/>
      <c r="AB5" s="47"/>
      <c r="AC5" s="47"/>
      <c r="AD5" s="48"/>
      <c r="AE5" s="51"/>
      <c r="AF5" s="51"/>
      <c r="AG5" s="48"/>
      <c r="AH5" s="52"/>
      <c r="AI5" s="52"/>
      <c r="AJ5" s="53"/>
      <c r="AK5" s="52"/>
      <c r="AL5" s="53"/>
      <c r="AM5" s="52"/>
      <c r="AN5" s="47"/>
      <c r="AO5" s="52"/>
      <c r="AP5" s="87">
        <f>SUM(AP2:AP4)</f>
        <v>4.9868728852826525</v>
      </c>
    </row>
    <row r="6" spans="1:42" x14ac:dyDescent="0.25">
      <c r="A6" s="94" t="s">
        <v>152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33"/>
    </row>
    <row r="7" spans="1:42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42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42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42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42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42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42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42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42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42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3:30" x14ac:dyDescent="0.2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</sheetData>
  <sheetProtection password="FADC" sheet="1" objects="1" scenarios="1" formatCells="0" formatColumns="0" formatRows="0" insertColumns="0" insertRows="0" insertHyperlinks="0" deleteColumns="0" deleteRows="0"/>
  <mergeCells count="1">
    <mergeCell ref="A6:AE6"/>
  </mergeCells>
  <phoneticPr fontId="1" type="noConversion"/>
  <dataValidations count="18">
    <dataValidation type="list" allowBlank="1" showInputMessage="1" showErrorMessage="1" sqref="H2:H4">
      <formula1>"无助燃,蒸汽助燃,空气助燃"</formula1>
    </dataValidation>
    <dataValidation type="list" allowBlank="1" showInputMessage="1" showErrorMessage="1" sqref="AE2:AE4">
      <formula1>"98%,93%,80%,0%"</formula1>
    </dataValidation>
    <dataValidation type="list" allowBlank="1" showInputMessage="1" showErrorMessage="1" sqref="L2:L4">
      <formula1>"第1次,第2次,第3次,第4次,第5次,第6次,第7次,第8次,第9次,第10次"</formula1>
    </dataValidation>
    <dataValidation type="list" allowBlank="1" showInputMessage="1" showErrorMessage="1" sqref="AC2:AC4">
      <formula1>"正常,非正常,故障"</formula1>
    </dataValidation>
    <dataValidation allowBlank="1" showInputMessage="1" showErrorMessage="1" prompt="必填项，为排放源的基本信息" sqref="B1:E1 H1"/>
    <dataValidation allowBlank="1" showInputMessage="1" showErrorMessage="1" prompt="选填" sqref="AA5 F5:G5"/>
    <dataValidation allowBlank="1" showInputMessage="1" showErrorMessage="1" prompt="选填，只适用于蒸汽助燃火炬" sqref="Z5"/>
    <dataValidation allowBlank="1" showInputMessage="1" showErrorMessage="1" prompt="单独计算每次火炬的排放量时必填项，为排放源的基本信息" sqref="L1"/>
    <dataValidation allowBlank="1" showInputMessage="1" showErrorMessage="1" prompt="必填项，与计算有关的参数" sqref="I1:K1 M1:W1 AE1 AG1:AL1 AN1"/>
    <dataValidation allowBlank="1" showInputMessage="1" showErrorMessage="1" prompt="必填项，为判断火炬燃烧效率的辅助参数，只适用于蒸汽助燃火炬" sqref="Z1"/>
    <dataValidation allowBlank="1" showInputMessage="1" showErrorMessage="1" prompt="必填项，为判断火炬燃烧效率的辅助参数" sqref="AA1 Y1"/>
    <dataValidation allowBlank="1" showInputMessage="1" showErrorMessage="1" prompt="必填项，为火炬燃烧的基本信息" sqref="AB1:AC1"/>
    <dataValidation allowBlank="1" showInputMessage="1" showErrorMessage="1" prompt="VOCs排放量中包含计算公式，不能删除；当排放源的数据填写完整后将其拷贝至同一列的相应位置即可" sqref="AP1"/>
    <dataValidation allowBlank="1" showInputMessage="1" showErrorMessage="1" prompt="选填项，为火炬基础信息" sqref="F1:G1"/>
    <dataValidation allowBlank="1" showInputMessage="1" showErrorMessage="1" prompt="必填项，为火炬的基本信息" sqref="AD1"/>
    <dataValidation allowBlank="1" showInputMessage="1" showErrorMessage="1" prompt="必填项，与计算有关的参数。火炬气中占比相对较多的物质" sqref="AF1"/>
    <dataValidation allowBlank="1" showInputMessage="1" showErrorMessage="1" prompt="包含计算公式，计算时拷贝至所需单元格" sqref="AP2:AP3"/>
    <dataValidation allowBlank="1" showInputMessage="1" showErrorMessage="1" prompt="程序自动填充数据，填写时拷贝至所需单元格" sqref="AN2:AN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相关系数取值!$A$32:$A$37</xm:f>
          </x14:formula1>
          <xm:sqref>AF5</xm:sqref>
        </x14:dataValidation>
        <x14:dataValidation type="list" allowBlank="1" showInputMessage="1" showErrorMessage="1">
          <x14:formula1>
            <xm:f>相关系数取值!$A$3:$A$7</xm:f>
          </x14:formula1>
          <xm:sqref>I2:I5</xm:sqref>
        </x14:dataValidation>
        <x14:dataValidation type="list" allowBlank="1" showInputMessage="1" showErrorMessage="1">
          <x14:formula1>
            <xm:f>相关系数取值!$A$32:$A$38</xm:f>
          </x14:formula1>
          <xm:sqref>AF2:AF4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L15" sqref="L15"/>
    </sheetView>
  </sheetViews>
  <sheetFormatPr defaultRowHeight="14.4" x14ac:dyDescent="0.25"/>
  <cols>
    <col min="1" max="1" width="11.21875" customWidth="1"/>
    <col min="7" max="7" width="8" customWidth="1"/>
  </cols>
  <sheetData>
    <row r="1" spans="1:13" ht="43.2" x14ac:dyDescent="0.25">
      <c r="A1" s="34" t="s">
        <v>51</v>
      </c>
      <c r="B1" s="34" t="s">
        <v>92</v>
      </c>
      <c r="C1" s="34" t="s">
        <v>103</v>
      </c>
      <c r="D1" s="34" t="s">
        <v>93</v>
      </c>
      <c r="E1" s="10" t="s">
        <v>154</v>
      </c>
      <c r="F1" s="29" t="s">
        <v>114</v>
      </c>
      <c r="G1" s="29" t="s">
        <v>158</v>
      </c>
      <c r="H1" s="10" t="s">
        <v>157</v>
      </c>
      <c r="I1" s="10" t="s">
        <v>159</v>
      </c>
      <c r="J1" s="10" t="s">
        <v>115</v>
      </c>
    </row>
    <row r="2" spans="1:13" x14ac:dyDescent="0.25">
      <c r="A2" s="4" t="s">
        <v>164</v>
      </c>
      <c r="B2" s="13">
        <v>1.7399999999999999E-2</v>
      </c>
      <c r="C2" s="4">
        <f>VLOOKUP(A2,常用物质的分子量!$A$1:$B$101,2,0)</f>
        <v>32</v>
      </c>
      <c r="D2" s="4" t="str">
        <f>VLOOKUP(A2,常用物质的分子量!$A$1:$J$101,10,0)</f>
        <v>非V0C</v>
      </c>
      <c r="E2" s="14">
        <f>SUMIF(D2:D22,"VOC",B2:B22)</f>
        <v>0.61549999999999994</v>
      </c>
      <c r="F2" s="30">
        <f>B2*C2</f>
        <v>0.55679999999999996</v>
      </c>
      <c r="G2" s="31">
        <f>SUMIF(D2:D22,"VOC",F2:F22)</f>
        <v>22.094999999999995</v>
      </c>
      <c r="H2" s="12">
        <f>G2/E2</f>
        <v>35.897644191714051</v>
      </c>
      <c r="I2" s="12">
        <f>SUM(F2:F22)</f>
        <v>29.445067999999996</v>
      </c>
      <c r="J2" s="14">
        <f>G2/I2</f>
        <v>0.75038033534172854</v>
      </c>
    </row>
    <row r="3" spans="1:13" x14ac:dyDescent="0.25">
      <c r="A3" s="4" t="s">
        <v>107</v>
      </c>
      <c r="B3" s="13">
        <v>0.22689999999999999</v>
      </c>
      <c r="C3" s="93">
        <f>VLOOKUP(A3,常用物质的分子量!$A$1:$B$101,2,0)</f>
        <v>28</v>
      </c>
      <c r="D3" s="93" t="str">
        <f>VLOOKUP(A3,常用物质的分子量!$A$1:$J$101,10,0)</f>
        <v>非V0C</v>
      </c>
      <c r="E3" s="14"/>
      <c r="F3" s="30">
        <f t="shared" ref="F3:F22" si="0">B3*C3</f>
        <v>6.3531999999999993</v>
      </c>
      <c r="G3" s="30"/>
      <c r="H3" s="11"/>
      <c r="I3" s="32"/>
      <c r="J3" s="14"/>
    </row>
    <row r="4" spans="1:13" s="3" customFormat="1" x14ac:dyDescent="0.25">
      <c r="A4" s="4" t="s">
        <v>165</v>
      </c>
      <c r="B4" s="13">
        <v>1.9999999999999999E-6</v>
      </c>
      <c r="C4" s="93">
        <f>VLOOKUP(A4,常用物质的分子量!$A$1:$B$101,2,0)</f>
        <v>34</v>
      </c>
      <c r="D4" s="93" t="str">
        <f>VLOOKUP(A4,常用物质的分子量!$A$1:$J$101,10,0)</f>
        <v>非V0C</v>
      </c>
      <c r="E4" s="14"/>
      <c r="F4" s="30">
        <f t="shared" si="0"/>
        <v>6.7999999999999999E-5</v>
      </c>
      <c r="G4" s="30"/>
      <c r="H4" s="11"/>
      <c r="I4" s="32"/>
      <c r="J4" s="14"/>
    </row>
    <row r="5" spans="1:13" x14ac:dyDescent="0.25">
      <c r="A5" s="4" t="s">
        <v>166</v>
      </c>
      <c r="B5" s="13">
        <v>3.8E-3</v>
      </c>
      <c r="C5" s="93">
        <f>VLOOKUP(A5,常用物质的分子量!$A$1:$B$101,2,0)</f>
        <v>44</v>
      </c>
      <c r="D5" s="93" t="str">
        <f>VLOOKUP(A5,常用物质的分子量!$A$1:$J$101,10,0)</f>
        <v>非V0C</v>
      </c>
      <c r="E5" s="14"/>
      <c r="F5" s="30">
        <f t="shared" si="0"/>
        <v>0.16719999999999999</v>
      </c>
      <c r="G5" s="30"/>
      <c r="H5" s="11"/>
      <c r="I5" s="32"/>
      <c r="J5" s="14"/>
      <c r="M5" s="3"/>
    </row>
    <row r="6" spans="1:13" x14ac:dyDescent="0.25">
      <c r="A6" s="4" t="s">
        <v>167</v>
      </c>
      <c r="B6" s="13">
        <v>0.13639999999999999</v>
      </c>
      <c r="C6" s="93">
        <f>VLOOKUP(A6,常用物质的分子量!$A$1:$B$101,2,0)</f>
        <v>2</v>
      </c>
      <c r="D6" s="93" t="str">
        <f>VLOOKUP(A6,常用物质的分子量!$A$1:$J$101,10,0)</f>
        <v>非V0C</v>
      </c>
      <c r="E6" s="14"/>
      <c r="F6" s="30">
        <f t="shared" si="0"/>
        <v>0.27279999999999999</v>
      </c>
      <c r="G6" s="30"/>
      <c r="H6" s="11"/>
      <c r="I6" s="32"/>
      <c r="J6" s="14"/>
    </row>
    <row r="7" spans="1:13" x14ac:dyDescent="0.25">
      <c r="A7" s="4" t="s">
        <v>168</v>
      </c>
      <c r="B7" s="13">
        <v>0.1056</v>
      </c>
      <c r="C7" s="93">
        <f>VLOOKUP(A7,常用物质的分子量!$A$1:$B$101,2,0)</f>
        <v>16</v>
      </c>
      <c r="D7" s="93" t="str">
        <f>VLOOKUP(A7,常用物质的分子量!$A$1:$J$101,10,0)</f>
        <v>VOC</v>
      </c>
      <c r="E7" s="14"/>
      <c r="F7" s="30">
        <f t="shared" si="0"/>
        <v>1.6896</v>
      </c>
      <c r="G7" s="30"/>
      <c r="H7" s="11"/>
      <c r="I7" s="32"/>
      <c r="J7" s="14"/>
    </row>
    <row r="8" spans="1:13" x14ac:dyDescent="0.25">
      <c r="A8" s="4" t="s">
        <v>169</v>
      </c>
      <c r="B8" s="13">
        <v>0.151</v>
      </c>
      <c r="C8" s="93">
        <f>VLOOKUP(A8,常用物质的分子量!$A$1:$B$101,2,0)</f>
        <v>30</v>
      </c>
      <c r="D8" s="93" t="str">
        <f>VLOOKUP(A8,常用物质的分子量!$A$1:$J$101,10,0)</f>
        <v>VOC</v>
      </c>
      <c r="E8" s="14"/>
      <c r="F8" s="30">
        <f t="shared" si="0"/>
        <v>4.53</v>
      </c>
      <c r="G8" s="30"/>
      <c r="H8" s="11"/>
      <c r="I8" s="32"/>
      <c r="J8" s="14"/>
    </row>
    <row r="9" spans="1:13" x14ac:dyDescent="0.25">
      <c r="A9" s="4" t="s">
        <v>170</v>
      </c>
      <c r="B9" s="13">
        <v>0.15709999999999999</v>
      </c>
      <c r="C9" s="93">
        <f>VLOOKUP(A9,常用物质的分子量!$A$1:$B$101,2,0)</f>
        <v>28</v>
      </c>
      <c r="D9" s="93" t="str">
        <f>VLOOKUP(A9,常用物质的分子量!$A$1:$J$101,10,0)</f>
        <v>VOC</v>
      </c>
      <c r="E9" s="14"/>
      <c r="F9" s="30">
        <f t="shared" si="0"/>
        <v>4.3987999999999996</v>
      </c>
      <c r="G9" s="30"/>
      <c r="H9" s="11"/>
      <c r="I9" s="32"/>
      <c r="J9" s="14"/>
    </row>
    <row r="10" spans="1:13" x14ac:dyDescent="0.25">
      <c r="A10" s="4" t="s">
        <v>172</v>
      </c>
      <c r="B10" s="13">
        <v>1.55E-2</v>
      </c>
      <c r="C10" s="93">
        <f>VLOOKUP(A10,常用物质的分子量!$A$1:$B$101,2,0)</f>
        <v>44</v>
      </c>
      <c r="D10" s="93" t="str">
        <f>VLOOKUP(A10,常用物质的分子量!$A$1:$J$101,10,0)</f>
        <v>VOC</v>
      </c>
      <c r="E10" s="14"/>
      <c r="F10" s="30">
        <f t="shared" si="0"/>
        <v>0.68199999999999994</v>
      </c>
      <c r="G10" s="30"/>
      <c r="H10" s="11"/>
      <c r="I10" s="32"/>
      <c r="J10" s="14"/>
    </row>
    <row r="11" spans="1:13" x14ac:dyDescent="0.25">
      <c r="A11" s="4" t="s">
        <v>171</v>
      </c>
      <c r="B11" s="13">
        <v>2.9999999999999997E-4</v>
      </c>
      <c r="C11" s="93">
        <f>VLOOKUP(A11,常用物质的分子量!$A$1:$B$101,2,0)</f>
        <v>42</v>
      </c>
      <c r="D11" s="93" t="str">
        <f>VLOOKUP(A11,常用物质的分子量!$A$1:$J$101,10,0)</f>
        <v>VOC</v>
      </c>
      <c r="E11" s="14"/>
      <c r="F11" s="30">
        <f t="shared" si="0"/>
        <v>1.2599999999999998E-2</v>
      </c>
      <c r="G11" s="30"/>
      <c r="H11" s="11"/>
      <c r="I11" s="32"/>
      <c r="J11" s="14"/>
    </row>
    <row r="12" spans="1:13" x14ac:dyDescent="0.25">
      <c r="A12" s="4" t="s">
        <v>173</v>
      </c>
      <c r="B12" s="13">
        <v>0.1726</v>
      </c>
      <c r="C12" s="93">
        <f>VLOOKUP(A12,常用物质的分子量!$A$1:$B$101,2,0)</f>
        <v>58</v>
      </c>
      <c r="D12" s="93" t="str">
        <f>VLOOKUP(A12,常用物质的分子量!$A$1:$J$101,10,0)</f>
        <v>VOC</v>
      </c>
      <c r="E12" s="14"/>
      <c r="F12" s="30">
        <f t="shared" si="0"/>
        <v>10.0108</v>
      </c>
      <c r="G12" s="30"/>
      <c r="H12" s="11"/>
      <c r="I12" s="32"/>
      <c r="J12" s="14"/>
    </row>
    <row r="13" spans="1:13" x14ac:dyDescent="0.25">
      <c r="A13" s="4" t="s">
        <v>174</v>
      </c>
      <c r="B13" s="13">
        <v>1.21E-2</v>
      </c>
      <c r="C13" s="93">
        <f>VLOOKUP(A13,常用物质的分子量!$A$1:$B$101,2,0)</f>
        <v>56</v>
      </c>
      <c r="D13" s="93" t="str">
        <f>VLOOKUP(A13,常用物质的分子量!$A$1:$J$101,10,0)</f>
        <v>VOC</v>
      </c>
      <c r="E13" s="14"/>
      <c r="F13" s="30">
        <f t="shared" si="0"/>
        <v>0.67759999999999998</v>
      </c>
      <c r="G13" s="30"/>
      <c r="H13" s="11"/>
      <c r="I13" s="32"/>
      <c r="J13" s="14"/>
    </row>
    <row r="14" spans="1:13" x14ac:dyDescent="0.25">
      <c r="A14" s="4" t="s">
        <v>175</v>
      </c>
      <c r="B14" s="13">
        <v>1.2999999999999999E-3</v>
      </c>
      <c r="C14" s="93">
        <f>VLOOKUP(A14,常用物质的分子量!$A$1:$B$101,2,0)</f>
        <v>72</v>
      </c>
      <c r="D14" s="93" t="str">
        <f>VLOOKUP(A14,常用物质的分子量!$A$1:$J$101,10,0)</f>
        <v>VOC</v>
      </c>
      <c r="E14" s="14"/>
      <c r="F14" s="30">
        <f t="shared" si="0"/>
        <v>9.3599999999999989E-2</v>
      </c>
      <c r="G14" s="30"/>
      <c r="H14" s="11"/>
      <c r="I14" s="32"/>
      <c r="J14" s="14"/>
    </row>
    <row r="15" spans="1:13" x14ac:dyDescent="0.25">
      <c r="A15" s="4" t="s">
        <v>176</v>
      </c>
      <c r="B15" s="13">
        <v>0</v>
      </c>
      <c r="C15" s="93">
        <f>VLOOKUP(A15,常用物质的分子量!$A$1:$B$101,2,0)</f>
        <v>28</v>
      </c>
      <c r="D15" s="93" t="str">
        <f>VLOOKUP(A15,常用物质的分子量!$A$1:$J$101,10,0)</f>
        <v>非V0C</v>
      </c>
      <c r="E15" s="14"/>
      <c r="F15" s="30">
        <f t="shared" si="0"/>
        <v>0</v>
      </c>
      <c r="G15" s="30"/>
      <c r="H15" s="11"/>
      <c r="I15" s="32"/>
      <c r="J15" s="14"/>
    </row>
    <row r="16" spans="1:13" x14ac:dyDescent="0.25">
      <c r="A16" s="4"/>
      <c r="B16" s="13"/>
      <c r="C16" s="93">
        <v>0</v>
      </c>
      <c r="D16" s="93">
        <v>0</v>
      </c>
      <c r="E16" s="14"/>
      <c r="F16" s="30">
        <f t="shared" si="0"/>
        <v>0</v>
      </c>
      <c r="G16" s="30"/>
      <c r="H16" s="11"/>
      <c r="I16" s="32"/>
      <c r="J16" s="14"/>
    </row>
    <row r="17" spans="1:10" x14ac:dyDescent="0.25">
      <c r="A17" s="4"/>
      <c r="B17" s="13"/>
      <c r="C17" s="93">
        <v>0</v>
      </c>
      <c r="D17" s="93">
        <v>0</v>
      </c>
      <c r="E17" s="14"/>
      <c r="F17" s="30">
        <f t="shared" si="0"/>
        <v>0</v>
      </c>
      <c r="G17" s="30"/>
      <c r="H17" s="11"/>
      <c r="I17" s="32"/>
      <c r="J17" s="14"/>
    </row>
    <row r="18" spans="1:10" x14ac:dyDescent="0.25">
      <c r="A18" s="4"/>
      <c r="B18" s="13"/>
      <c r="C18" s="93">
        <v>0</v>
      </c>
      <c r="D18" s="93">
        <v>0</v>
      </c>
      <c r="E18" s="14"/>
      <c r="F18" s="30">
        <f t="shared" si="0"/>
        <v>0</v>
      </c>
      <c r="G18" s="30"/>
      <c r="H18" s="11"/>
      <c r="I18" s="32"/>
      <c r="J18" s="14"/>
    </row>
    <row r="19" spans="1:10" x14ac:dyDescent="0.25">
      <c r="A19" s="4"/>
      <c r="B19" s="13"/>
      <c r="C19" s="93">
        <v>0</v>
      </c>
      <c r="D19" s="93">
        <v>0</v>
      </c>
      <c r="E19" s="14"/>
      <c r="F19" s="30">
        <f t="shared" si="0"/>
        <v>0</v>
      </c>
      <c r="G19" s="30"/>
      <c r="H19" s="11"/>
      <c r="I19" s="32"/>
      <c r="J19" s="14"/>
    </row>
    <row r="20" spans="1:10" x14ac:dyDescent="0.25">
      <c r="A20" s="4"/>
      <c r="B20" s="13"/>
      <c r="C20" s="93">
        <v>0</v>
      </c>
      <c r="D20" s="93">
        <v>0</v>
      </c>
      <c r="E20" s="14"/>
      <c r="F20" s="30">
        <f t="shared" si="0"/>
        <v>0</v>
      </c>
      <c r="G20" s="30"/>
      <c r="H20" s="11"/>
      <c r="I20" s="32"/>
      <c r="J20" s="14"/>
    </row>
    <row r="21" spans="1:10" x14ac:dyDescent="0.25">
      <c r="A21" s="4"/>
      <c r="B21" s="13"/>
      <c r="C21" s="93">
        <v>0</v>
      </c>
      <c r="D21" s="93">
        <v>0</v>
      </c>
      <c r="E21" s="14"/>
      <c r="F21" s="30">
        <f t="shared" si="0"/>
        <v>0</v>
      </c>
      <c r="G21" s="30"/>
      <c r="H21" s="11"/>
      <c r="I21" s="32"/>
      <c r="J21" s="14"/>
    </row>
    <row r="22" spans="1:10" x14ac:dyDescent="0.25">
      <c r="A22" s="4"/>
      <c r="B22" s="13"/>
      <c r="C22" s="93">
        <v>0</v>
      </c>
      <c r="D22" s="93">
        <v>0</v>
      </c>
      <c r="E22" s="14"/>
      <c r="F22" s="30">
        <f t="shared" si="0"/>
        <v>0</v>
      </c>
      <c r="G22" s="30"/>
      <c r="H22" s="11"/>
      <c r="I22" s="32"/>
      <c r="J22" s="1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1" sqref="C1:I1048576"/>
    </sheetView>
  </sheetViews>
  <sheetFormatPr defaultRowHeight="14.4" x14ac:dyDescent="0.25"/>
  <cols>
    <col min="1" max="1" width="13.5546875" customWidth="1"/>
    <col min="2" max="2" width="12.88671875" style="2" customWidth="1"/>
    <col min="3" max="9" width="8.88671875" style="2" hidden="1" customWidth="1"/>
    <col min="10" max="10" width="17.21875" style="2" customWidth="1"/>
    <col min="11" max="11" width="13.109375" customWidth="1"/>
    <col min="12" max="12" width="14.109375" customWidth="1"/>
    <col min="14" max="14" width="8.88671875" customWidth="1"/>
  </cols>
  <sheetData>
    <row r="1" spans="1:10" s="3" customFormat="1" x14ac:dyDescent="0.25">
      <c r="A1" s="7" t="s">
        <v>61</v>
      </c>
      <c r="B1" s="6" t="s">
        <v>62</v>
      </c>
      <c r="C1" s="6" t="s">
        <v>83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112</v>
      </c>
      <c r="I1" s="2" t="s">
        <v>113</v>
      </c>
      <c r="J1" s="6" t="s">
        <v>94</v>
      </c>
    </row>
    <row r="2" spans="1:10" x14ac:dyDescent="0.25">
      <c r="A2" t="s">
        <v>52</v>
      </c>
      <c r="B2" s="2">
        <f>I2</f>
        <v>16</v>
      </c>
      <c r="C2" s="2">
        <v>1</v>
      </c>
      <c r="D2" s="2">
        <f>C2*2+2</f>
        <v>4</v>
      </c>
      <c r="E2" s="2">
        <v>0</v>
      </c>
      <c r="F2" s="2">
        <v>0</v>
      </c>
      <c r="G2" s="2">
        <v>0</v>
      </c>
      <c r="H2" s="2">
        <v>0</v>
      </c>
      <c r="I2" s="2">
        <f>C2*12+D2*1+E2*16+F2*14+G2*35+H2*32</f>
        <v>16</v>
      </c>
      <c r="J2" s="2" t="s">
        <v>93</v>
      </c>
    </row>
    <row r="3" spans="1:10" x14ac:dyDescent="0.25">
      <c r="A3" t="s">
        <v>53</v>
      </c>
      <c r="B3" s="2">
        <f>I3</f>
        <v>30</v>
      </c>
      <c r="C3" s="2">
        <v>2</v>
      </c>
      <c r="D3" s="2">
        <f>C3*2+2</f>
        <v>6</v>
      </c>
      <c r="E3" s="2">
        <v>0</v>
      </c>
      <c r="F3" s="2">
        <v>0</v>
      </c>
      <c r="G3" s="2">
        <v>0</v>
      </c>
      <c r="H3" s="2">
        <v>0</v>
      </c>
      <c r="I3" s="2">
        <f>C3*12+D3*1+E3*16+F3*14+G3*35+H3*32</f>
        <v>30</v>
      </c>
      <c r="J3" s="2" t="s">
        <v>93</v>
      </c>
    </row>
    <row r="4" spans="1:10" x14ac:dyDescent="0.25">
      <c r="A4" t="s">
        <v>54</v>
      </c>
      <c r="B4" s="2">
        <f t="shared" ref="B4:B24" si="0">I4</f>
        <v>28</v>
      </c>
      <c r="C4" s="2">
        <v>2</v>
      </c>
      <c r="D4" s="2">
        <f>C4*2</f>
        <v>4</v>
      </c>
      <c r="E4" s="2">
        <v>0</v>
      </c>
      <c r="F4" s="2">
        <v>0</v>
      </c>
      <c r="G4" s="2">
        <v>0</v>
      </c>
      <c r="H4" s="2">
        <v>0</v>
      </c>
      <c r="I4" s="2">
        <f t="shared" ref="I4:I39" si="1">C4*12+D4*1+E4*16+F4*14+G4*35+H4*32</f>
        <v>28</v>
      </c>
      <c r="J4" s="2" t="s">
        <v>93</v>
      </c>
    </row>
    <row r="5" spans="1:10" s="3" customFormat="1" x14ac:dyDescent="0.25">
      <c r="A5" s="3" t="s">
        <v>56</v>
      </c>
      <c r="B5" s="2">
        <f t="shared" si="0"/>
        <v>44</v>
      </c>
      <c r="C5" s="2">
        <v>3</v>
      </c>
      <c r="D5" s="2">
        <f>C5*2+2</f>
        <v>8</v>
      </c>
      <c r="E5" s="2">
        <v>0</v>
      </c>
      <c r="F5" s="2">
        <v>0</v>
      </c>
      <c r="G5" s="2">
        <v>0</v>
      </c>
      <c r="H5" s="2">
        <v>0</v>
      </c>
      <c r="I5" s="2">
        <f t="shared" si="1"/>
        <v>44</v>
      </c>
      <c r="J5" s="2" t="s">
        <v>93</v>
      </c>
    </row>
    <row r="6" spans="1:10" x14ac:dyDescent="0.25">
      <c r="A6" t="s">
        <v>55</v>
      </c>
      <c r="B6" s="2">
        <f t="shared" si="0"/>
        <v>42</v>
      </c>
      <c r="C6" s="2">
        <v>3</v>
      </c>
      <c r="D6" s="2">
        <f>C6*2</f>
        <v>6</v>
      </c>
      <c r="E6" s="2">
        <v>0</v>
      </c>
      <c r="F6" s="2">
        <v>0</v>
      </c>
      <c r="G6" s="2">
        <v>0</v>
      </c>
      <c r="H6" s="2">
        <v>0</v>
      </c>
      <c r="I6" s="2">
        <f t="shared" si="1"/>
        <v>42</v>
      </c>
      <c r="J6" s="2" t="s">
        <v>93</v>
      </c>
    </row>
    <row r="7" spans="1:10" x14ac:dyDescent="0.25">
      <c r="A7" t="s">
        <v>57</v>
      </c>
      <c r="B7" s="2">
        <f t="shared" si="0"/>
        <v>58</v>
      </c>
      <c r="C7" s="2">
        <v>4</v>
      </c>
      <c r="D7" s="2">
        <f>C7*2+2</f>
        <v>10</v>
      </c>
      <c r="E7" s="2">
        <v>0</v>
      </c>
      <c r="F7" s="2">
        <v>0</v>
      </c>
      <c r="G7" s="2">
        <v>0</v>
      </c>
      <c r="H7" s="2">
        <v>0</v>
      </c>
      <c r="I7" s="2">
        <f t="shared" si="1"/>
        <v>58</v>
      </c>
      <c r="J7" s="2" t="s">
        <v>93</v>
      </c>
    </row>
    <row r="8" spans="1:10" x14ac:dyDescent="0.25">
      <c r="A8" t="s">
        <v>58</v>
      </c>
      <c r="B8" s="2">
        <f t="shared" si="0"/>
        <v>56</v>
      </c>
      <c r="C8" s="2">
        <v>4</v>
      </c>
      <c r="D8" s="2">
        <f>C8*2</f>
        <v>8</v>
      </c>
      <c r="E8" s="2">
        <v>0</v>
      </c>
      <c r="F8" s="2">
        <v>0</v>
      </c>
      <c r="G8" s="2">
        <v>0</v>
      </c>
      <c r="H8" s="2">
        <v>0</v>
      </c>
      <c r="I8" s="2">
        <f t="shared" si="1"/>
        <v>56</v>
      </c>
      <c r="J8" s="2" t="s">
        <v>93</v>
      </c>
    </row>
    <row r="9" spans="1:10" s="3" customFormat="1" x14ac:dyDescent="0.25">
      <c r="A9" s="3" t="s">
        <v>78</v>
      </c>
      <c r="B9" s="2">
        <f t="shared" si="0"/>
        <v>54</v>
      </c>
      <c r="C9" s="2">
        <v>4</v>
      </c>
      <c r="D9" s="2">
        <f>C9*2-2</f>
        <v>6</v>
      </c>
      <c r="E9" s="2">
        <v>0</v>
      </c>
      <c r="F9" s="2">
        <v>0</v>
      </c>
      <c r="G9" s="2">
        <v>0</v>
      </c>
      <c r="H9" s="2">
        <v>0</v>
      </c>
      <c r="I9" s="2">
        <f t="shared" si="1"/>
        <v>54</v>
      </c>
      <c r="J9" s="2" t="s">
        <v>93</v>
      </c>
    </row>
    <row r="10" spans="1:10" x14ac:dyDescent="0.25">
      <c r="A10" t="s">
        <v>59</v>
      </c>
      <c r="B10" s="2">
        <f t="shared" si="0"/>
        <v>72</v>
      </c>
      <c r="C10" s="2">
        <v>5</v>
      </c>
      <c r="D10" s="2">
        <f>C10*2+2</f>
        <v>12</v>
      </c>
      <c r="E10" s="2">
        <v>0</v>
      </c>
      <c r="F10" s="2">
        <v>0</v>
      </c>
      <c r="G10" s="2">
        <v>0</v>
      </c>
      <c r="H10" s="2">
        <v>0</v>
      </c>
      <c r="I10" s="2">
        <f t="shared" si="1"/>
        <v>72</v>
      </c>
      <c r="J10" s="2" t="s">
        <v>93</v>
      </c>
    </row>
    <row r="11" spans="1:10" x14ac:dyDescent="0.25">
      <c r="A11" t="s">
        <v>60</v>
      </c>
      <c r="B11" s="2">
        <f t="shared" si="0"/>
        <v>70</v>
      </c>
      <c r="C11" s="2">
        <v>5</v>
      </c>
      <c r="D11" s="2">
        <f>C11*2</f>
        <v>10</v>
      </c>
      <c r="E11" s="2">
        <v>0</v>
      </c>
      <c r="F11" s="2">
        <v>0</v>
      </c>
      <c r="G11" s="2">
        <v>0</v>
      </c>
      <c r="H11" s="2">
        <v>0</v>
      </c>
      <c r="I11" s="2">
        <f t="shared" si="1"/>
        <v>70</v>
      </c>
      <c r="J11" s="2" t="s">
        <v>93</v>
      </c>
    </row>
    <row r="12" spans="1:10" s="3" customFormat="1" x14ac:dyDescent="0.25">
      <c r="A12" s="3" t="s">
        <v>79</v>
      </c>
      <c r="B12" s="2">
        <f t="shared" si="0"/>
        <v>68</v>
      </c>
      <c r="C12" s="2">
        <v>5</v>
      </c>
      <c r="D12" s="2">
        <f>C12*2-2</f>
        <v>8</v>
      </c>
      <c r="E12" s="2">
        <v>0</v>
      </c>
      <c r="F12" s="2">
        <v>0</v>
      </c>
      <c r="G12" s="2">
        <v>0</v>
      </c>
      <c r="H12" s="2">
        <v>0</v>
      </c>
      <c r="I12" s="2">
        <f t="shared" si="1"/>
        <v>68</v>
      </c>
      <c r="J12" s="2" t="s">
        <v>93</v>
      </c>
    </row>
    <row r="13" spans="1:10" x14ac:dyDescent="0.25">
      <c r="A13" t="s">
        <v>63</v>
      </c>
      <c r="B13" s="2">
        <f t="shared" si="0"/>
        <v>86</v>
      </c>
      <c r="C13" s="2">
        <v>6</v>
      </c>
      <c r="D13" s="2">
        <f>C13*2+2</f>
        <v>14</v>
      </c>
      <c r="E13" s="2">
        <v>0</v>
      </c>
      <c r="F13" s="2">
        <v>0</v>
      </c>
      <c r="G13" s="2">
        <v>0</v>
      </c>
      <c r="H13" s="2">
        <v>0</v>
      </c>
      <c r="I13" s="2">
        <f t="shared" si="1"/>
        <v>86</v>
      </c>
      <c r="J13" s="2" t="s">
        <v>93</v>
      </c>
    </row>
    <row r="14" spans="1:10" x14ac:dyDescent="0.25">
      <c r="A14" t="s">
        <v>64</v>
      </c>
      <c r="B14" s="2">
        <f t="shared" si="0"/>
        <v>84</v>
      </c>
      <c r="C14" s="2">
        <v>6</v>
      </c>
      <c r="D14" s="2">
        <f>C14*2</f>
        <v>12</v>
      </c>
      <c r="E14" s="2">
        <v>0</v>
      </c>
      <c r="F14" s="2">
        <v>0</v>
      </c>
      <c r="G14" s="2">
        <v>0</v>
      </c>
      <c r="H14" s="2">
        <v>0</v>
      </c>
      <c r="I14" s="2">
        <f t="shared" si="1"/>
        <v>84</v>
      </c>
      <c r="J14" s="2" t="s">
        <v>93</v>
      </c>
    </row>
    <row r="15" spans="1:10" x14ac:dyDescent="0.25">
      <c r="A15" t="s">
        <v>65</v>
      </c>
      <c r="B15" s="2">
        <f t="shared" si="0"/>
        <v>78</v>
      </c>
      <c r="C15" s="2">
        <v>6</v>
      </c>
      <c r="D15" s="2">
        <v>6</v>
      </c>
      <c r="E15" s="2">
        <v>0</v>
      </c>
      <c r="F15" s="2">
        <v>0</v>
      </c>
      <c r="G15" s="2">
        <v>0</v>
      </c>
      <c r="H15" s="2">
        <v>0</v>
      </c>
      <c r="I15" s="2">
        <f t="shared" si="1"/>
        <v>78</v>
      </c>
      <c r="J15" s="2" t="s">
        <v>93</v>
      </c>
    </row>
    <row r="16" spans="1:10" x14ac:dyDescent="0.25">
      <c r="A16" t="s">
        <v>66</v>
      </c>
      <c r="B16" s="2">
        <f t="shared" si="0"/>
        <v>92</v>
      </c>
      <c r="C16" s="2">
        <v>7</v>
      </c>
      <c r="D16" s="2">
        <v>8</v>
      </c>
      <c r="E16" s="2">
        <v>0</v>
      </c>
      <c r="F16" s="2">
        <v>0</v>
      </c>
      <c r="G16" s="2">
        <v>0</v>
      </c>
      <c r="H16" s="2">
        <v>0</v>
      </c>
      <c r="I16" s="2">
        <f t="shared" si="1"/>
        <v>92</v>
      </c>
      <c r="J16" s="2" t="s">
        <v>93</v>
      </c>
    </row>
    <row r="17" spans="1:10" x14ac:dyDescent="0.25">
      <c r="A17" t="s">
        <v>67</v>
      </c>
      <c r="B17" s="2">
        <f t="shared" si="0"/>
        <v>106</v>
      </c>
      <c r="C17" s="2">
        <v>8</v>
      </c>
      <c r="D17" s="2">
        <v>10</v>
      </c>
      <c r="E17" s="2">
        <v>0</v>
      </c>
      <c r="F17" s="2">
        <v>0</v>
      </c>
      <c r="G17" s="2">
        <v>0</v>
      </c>
      <c r="H17" s="2">
        <v>0</v>
      </c>
      <c r="I17" s="2">
        <f t="shared" si="1"/>
        <v>106</v>
      </c>
      <c r="J17" s="2" t="s">
        <v>93</v>
      </c>
    </row>
    <row r="18" spans="1:10" x14ac:dyDescent="0.25">
      <c r="A18" t="s">
        <v>68</v>
      </c>
      <c r="B18" s="2">
        <f t="shared" si="0"/>
        <v>106</v>
      </c>
      <c r="C18" s="2">
        <v>8</v>
      </c>
      <c r="D18" s="2">
        <v>10</v>
      </c>
      <c r="E18" s="2">
        <v>0</v>
      </c>
      <c r="F18" s="2">
        <v>0</v>
      </c>
      <c r="G18" s="2">
        <v>0</v>
      </c>
      <c r="H18" s="2">
        <v>0</v>
      </c>
      <c r="I18" s="2">
        <f t="shared" si="1"/>
        <v>106</v>
      </c>
      <c r="J18" s="2" t="s">
        <v>93</v>
      </c>
    </row>
    <row r="19" spans="1:10" s="3" customFormat="1" x14ac:dyDescent="0.25">
      <c r="A19" s="3" t="s">
        <v>69</v>
      </c>
      <c r="B19" s="2">
        <f t="shared" si="0"/>
        <v>32</v>
      </c>
      <c r="C19" s="2">
        <v>1</v>
      </c>
      <c r="D19" s="2">
        <v>4</v>
      </c>
      <c r="E19" s="2">
        <v>1</v>
      </c>
      <c r="F19" s="2">
        <v>0</v>
      </c>
      <c r="G19" s="2">
        <v>0</v>
      </c>
      <c r="H19" s="2">
        <v>0</v>
      </c>
      <c r="I19" s="2">
        <f t="shared" si="1"/>
        <v>32</v>
      </c>
      <c r="J19" s="2" t="s">
        <v>93</v>
      </c>
    </row>
    <row r="20" spans="1:10" s="3" customFormat="1" x14ac:dyDescent="0.25">
      <c r="A20" s="3" t="s">
        <v>88</v>
      </c>
      <c r="B20" s="2">
        <f t="shared" si="0"/>
        <v>46</v>
      </c>
      <c r="C20" s="2">
        <v>2</v>
      </c>
      <c r="D20" s="2">
        <v>6</v>
      </c>
      <c r="E20" s="2">
        <v>1</v>
      </c>
      <c r="F20" s="2">
        <v>0</v>
      </c>
      <c r="G20" s="2">
        <v>0</v>
      </c>
      <c r="H20" s="2">
        <v>0</v>
      </c>
      <c r="I20" s="2">
        <f t="shared" si="1"/>
        <v>46</v>
      </c>
      <c r="J20" s="2" t="s">
        <v>93</v>
      </c>
    </row>
    <row r="21" spans="1:10" s="3" customFormat="1" x14ac:dyDescent="0.25">
      <c r="A21" s="3" t="s">
        <v>70</v>
      </c>
      <c r="B21" s="2">
        <f t="shared" si="0"/>
        <v>30</v>
      </c>
      <c r="C21" s="2">
        <v>1</v>
      </c>
      <c r="D21" s="2">
        <v>2</v>
      </c>
      <c r="E21" s="2">
        <v>1</v>
      </c>
      <c r="F21" s="2">
        <v>0</v>
      </c>
      <c r="G21" s="2">
        <v>0</v>
      </c>
      <c r="H21" s="2">
        <v>0</v>
      </c>
      <c r="I21" s="2">
        <f t="shared" si="1"/>
        <v>30</v>
      </c>
      <c r="J21" s="2" t="s">
        <v>93</v>
      </c>
    </row>
    <row r="22" spans="1:10" s="3" customFormat="1" x14ac:dyDescent="0.25">
      <c r="A22" s="3" t="s">
        <v>73</v>
      </c>
      <c r="B22" s="2">
        <f t="shared" si="0"/>
        <v>44</v>
      </c>
      <c r="C22" s="2">
        <v>2</v>
      </c>
      <c r="D22" s="2">
        <v>4</v>
      </c>
      <c r="E22" s="2">
        <v>1</v>
      </c>
      <c r="F22" s="2">
        <v>0</v>
      </c>
      <c r="G22" s="2">
        <v>0</v>
      </c>
      <c r="H22" s="2">
        <v>0</v>
      </c>
      <c r="I22" s="2">
        <f t="shared" si="1"/>
        <v>44</v>
      </c>
      <c r="J22" s="2" t="s">
        <v>93</v>
      </c>
    </row>
    <row r="23" spans="1:10" s="3" customFormat="1" x14ac:dyDescent="0.25">
      <c r="A23" s="3" t="s">
        <v>89</v>
      </c>
      <c r="B23" s="2">
        <f t="shared" si="0"/>
        <v>60</v>
      </c>
      <c r="C23" s="2">
        <v>2</v>
      </c>
      <c r="D23" s="2">
        <v>4</v>
      </c>
      <c r="E23" s="2">
        <v>2</v>
      </c>
      <c r="F23" s="2">
        <v>0</v>
      </c>
      <c r="G23" s="2">
        <v>0</v>
      </c>
      <c r="H23" s="2">
        <v>0</v>
      </c>
      <c r="I23" s="2">
        <f t="shared" si="1"/>
        <v>60</v>
      </c>
      <c r="J23" s="2" t="s">
        <v>93</v>
      </c>
    </row>
    <row r="24" spans="1:10" s="3" customFormat="1" x14ac:dyDescent="0.25">
      <c r="A24" s="3" t="s">
        <v>90</v>
      </c>
      <c r="B24" s="2">
        <f t="shared" si="0"/>
        <v>88</v>
      </c>
      <c r="C24" s="2">
        <v>4</v>
      </c>
      <c r="D24" s="2">
        <v>8</v>
      </c>
      <c r="E24" s="2">
        <v>2</v>
      </c>
      <c r="F24" s="2">
        <v>0</v>
      </c>
      <c r="G24" s="2">
        <v>0</v>
      </c>
      <c r="H24" s="2">
        <v>0</v>
      </c>
      <c r="I24" s="2">
        <f t="shared" si="1"/>
        <v>88</v>
      </c>
      <c r="J24" s="2" t="s">
        <v>93</v>
      </c>
    </row>
    <row r="25" spans="1:10" s="3" customFormat="1" x14ac:dyDescent="0.25">
      <c r="A25" s="3" t="s">
        <v>80</v>
      </c>
      <c r="B25" s="2">
        <f t="shared" ref="B25:B39" si="2">I25</f>
        <v>50</v>
      </c>
      <c r="C25" s="2">
        <v>1</v>
      </c>
      <c r="D25" s="2">
        <v>3</v>
      </c>
      <c r="E25" s="2">
        <v>0</v>
      </c>
      <c r="F25" s="2">
        <v>0</v>
      </c>
      <c r="G25" s="2">
        <v>1</v>
      </c>
      <c r="H25" s="2">
        <v>0</v>
      </c>
      <c r="I25" s="2">
        <f t="shared" si="1"/>
        <v>50</v>
      </c>
      <c r="J25" s="2" t="s">
        <v>93</v>
      </c>
    </row>
    <row r="26" spans="1:10" s="3" customFormat="1" x14ac:dyDescent="0.25">
      <c r="A26" s="3" t="s">
        <v>74</v>
      </c>
      <c r="B26" s="2">
        <f t="shared" si="2"/>
        <v>64</v>
      </c>
      <c r="C26" s="2">
        <v>2</v>
      </c>
      <c r="D26" s="2">
        <v>5</v>
      </c>
      <c r="E26" s="2">
        <v>0</v>
      </c>
      <c r="F26" s="2">
        <v>0</v>
      </c>
      <c r="G26" s="2">
        <v>1</v>
      </c>
      <c r="H26" s="2">
        <v>0</v>
      </c>
      <c r="I26" s="2">
        <f t="shared" si="1"/>
        <v>64</v>
      </c>
      <c r="J26" s="2" t="s">
        <v>93</v>
      </c>
    </row>
    <row r="27" spans="1:10" s="3" customFormat="1" x14ac:dyDescent="0.25">
      <c r="A27" s="3" t="s">
        <v>81</v>
      </c>
      <c r="B27" s="2">
        <f t="shared" si="2"/>
        <v>78</v>
      </c>
      <c r="C27" s="2">
        <v>3</v>
      </c>
      <c r="D27" s="2">
        <v>7</v>
      </c>
      <c r="E27" s="2">
        <v>0</v>
      </c>
      <c r="F27" s="2">
        <v>0</v>
      </c>
      <c r="G27" s="2">
        <v>1</v>
      </c>
      <c r="H27" s="2">
        <v>0</v>
      </c>
      <c r="I27" s="2">
        <f t="shared" si="1"/>
        <v>78</v>
      </c>
      <c r="J27" s="2" t="s">
        <v>93</v>
      </c>
    </row>
    <row r="28" spans="1:10" s="3" customFormat="1" x14ac:dyDescent="0.25">
      <c r="A28" s="3" t="s">
        <v>75</v>
      </c>
      <c r="B28" s="2">
        <f t="shared" si="2"/>
        <v>62</v>
      </c>
      <c r="C28" s="2">
        <v>2</v>
      </c>
      <c r="D28" s="2">
        <v>3</v>
      </c>
      <c r="E28" s="2">
        <v>0</v>
      </c>
      <c r="F28" s="2">
        <v>0</v>
      </c>
      <c r="G28" s="2">
        <v>1</v>
      </c>
      <c r="H28" s="2">
        <v>0</v>
      </c>
      <c r="I28" s="2">
        <f t="shared" si="1"/>
        <v>62</v>
      </c>
      <c r="J28" s="2" t="s">
        <v>93</v>
      </c>
    </row>
    <row r="29" spans="1:10" s="3" customFormat="1" x14ac:dyDescent="0.25">
      <c r="A29" s="3" t="s">
        <v>77</v>
      </c>
      <c r="B29" s="2">
        <f t="shared" si="2"/>
        <v>104</v>
      </c>
      <c r="C29" s="2">
        <v>8</v>
      </c>
      <c r="D29" s="2">
        <v>8</v>
      </c>
      <c r="E29" s="2">
        <v>0</v>
      </c>
      <c r="F29" s="2">
        <v>0</v>
      </c>
      <c r="G29" s="2">
        <v>0</v>
      </c>
      <c r="H29" s="2">
        <v>0</v>
      </c>
      <c r="I29" s="2">
        <f t="shared" si="1"/>
        <v>104</v>
      </c>
      <c r="J29" s="2" t="s">
        <v>93</v>
      </c>
    </row>
    <row r="30" spans="1:10" s="3" customFormat="1" x14ac:dyDescent="0.25">
      <c r="A30" s="3" t="s">
        <v>76</v>
      </c>
      <c r="B30" s="2">
        <f t="shared" si="2"/>
        <v>68</v>
      </c>
      <c r="C30" s="2">
        <v>4</v>
      </c>
      <c r="D30" s="2">
        <v>6</v>
      </c>
      <c r="E30" s="2">
        <v>0</v>
      </c>
      <c r="F30" s="2">
        <v>1</v>
      </c>
      <c r="G30" s="2">
        <v>0</v>
      </c>
      <c r="H30" s="2">
        <v>0</v>
      </c>
      <c r="I30" s="2">
        <f t="shared" si="1"/>
        <v>68</v>
      </c>
      <c r="J30" s="2" t="s">
        <v>93</v>
      </c>
    </row>
    <row r="31" spans="1:10" s="3" customFormat="1" x14ac:dyDescent="0.25">
      <c r="A31" s="3" t="s">
        <v>82</v>
      </c>
      <c r="B31" s="2">
        <f t="shared" si="2"/>
        <v>60</v>
      </c>
      <c r="C31" s="2">
        <v>2</v>
      </c>
      <c r="D31" s="2">
        <v>4</v>
      </c>
      <c r="E31" s="2">
        <v>2</v>
      </c>
      <c r="F31" s="2">
        <v>0</v>
      </c>
      <c r="G31" s="2">
        <v>0</v>
      </c>
      <c r="H31" s="2">
        <v>0</v>
      </c>
      <c r="I31" s="2">
        <f t="shared" si="1"/>
        <v>60</v>
      </c>
      <c r="J31" s="2" t="s">
        <v>93</v>
      </c>
    </row>
    <row r="32" spans="1:10" s="3" customFormat="1" x14ac:dyDescent="0.25">
      <c r="A32" s="3" t="s">
        <v>71</v>
      </c>
      <c r="B32" s="2">
        <f t="shared" si="2"/>
        <v>88</v>
      </c>
      <c r="C32" s="2">
        <v>5</v>
      </c>
      <c r="D32" s="2">
        <v>12</v>
      </c>
      <c r="E32" s="2">
        <v>1</v>
      </c>
      <c r="F32" s="2">
        <v>0</v>
      </c>
      <c r="G32" s="2">
        <v>0</v>
      </c>
      <c r="H32" s="2">
        <v>0</v>
      </c>
      <c r="I32" s="2">
        <f t="shared" si="1"/>
        <v>88</v>
      </c>
      <c r="J32" s="2" t="s">
        <v>93</v>
      </c>
    </row>
    <row r="33" spans="1:10" s="3" customFormat="1" x14ac:dyDescent="0.25">
      <c r="A33" s="3" t="s">
        <v>72</v>
      </c>
      <c r="B33" s="2">
        <f t="shared" si="2"/>
        <v>27</v>
      </c>
      <c r="C33" s="2">
        <v>1</v>
      </c>
      <c r="D33" s="2">
        <v>1</v>
      </c>
      <c r="E33" s="2">
        <v>0</v>
      </c>
      <c r="F33" s="2">
        <v>1</v>
      </c>
      <c r="G33" s="2">
        <v>0</v>
      </c>
      <c r="H33" s="2">
        <v>0</v>
      </c>
      <c r="I33" s="2">
        <f t="shared" si="1"/>
        <v>27</v>
      </c>
      <c r="J33" s="2" t="s">
        <v>93</v>
      </c>
    </row>
    <row r="34" spans="1:10" x14ac:dyDescent="0.25">
      <c r="A34" t="s">
        <v>109</v>
      </c>
      <c r="B34" s="2">
        <f t="shared" si="2"/>
        <v>2</v>
      </c>
      <c r="C34" s="2">
        <v>0</v>
      </c>
      <c r="D34" s="2">
        <v>2</v>
      </c>
      <c r="E34" s="2">
        <v>0</v>
      </c>
      <c r="F34" s="2">
        <v>0</v>
      </c>
      <c r="G34" s="2">
        <v>0</v>
      </c>
      <c r="H34" s="2">
        <v>0</v>
      </c>
      <c r="I34" s="2">
        <f t="shared" si="1"/>
        <v>2</v>
      </c>
      <c r="J34" s="2" t="s">
        <v>111</v>
      </c>
    </row>
    <row r="35" spans="1:10" x14ac:dyDescent="0.25">
      <c r="A35" t="s">
        <v>104</v>
      </c>
      <c r="B35" s="2">
        <f t="shared" si="2"/>
        <v>34</v>
      </c>
      <c r="C35" s="2">
        <v>0</v>
      </c>
      <c r="D35" s="2">
        <v>2</v>
      </c>
      <c r="E35" s="2">
        <v>0</v>
      </c>
      <c r="F35" s="2">
        <v>0</v>
      </c>
      <c r="G35" s="2">
        <v>0</v>
      </c>
      <c r="H35" s="2">
        <v>1</v>
      </c>
      <c r="I35" s="2">
        <f t="shared" si="1"/>
        <v>34</v>
      </c>
      <c r="J35" s="2" t="s">
        <v>111</v>
      </c>
    </row>
    <row r="36" spans="1:10" x14ac:dyDescent="0.25">
      <c r="A36" t="s">
        <v>105</v>
      </c>
      <c r="B36" s="2">
        <f t="shared" si="2"/>
        <v>28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f t="shared" si="1"/>
        <v>28</v>
      </c>
      <c r="J36" s="2" t="s">
        <v>110</v>
      </c>
    </row>
    <row r="37" spans="1:10" x14ac:dyDescent="0.25">
      <c r="A37" t="s">
        <v>106</v>
      </c>
      <c r="B37" s="2">
        <f t="shared" si="2"/>
        <v>44</v>
      </c>
      <c r="C37" s="2">
        <v>1</v>
      </c>
      <c r="D37" s="2">
        <v>0</v>
      </c>
      <c r="E37" s="2">
        <v>2</v>
      </c>
      <c r="F37" s="2">
        <v>0</v>
      </c>
      <c r="G37" s="2">
        <v>0</v>
      </c>
      <c r="H37" s="2">
        <v>0</v>
      </c>
      <c r="I37" s="2">
        <f t="shared" si="1"/>
        <v>44</v>
      </c>
      <c r="J37" s="2" t="s">
        <v>110</v>
      </c>
    </row>
    <row r="38" spans="1:10" x14ac:dyDescent="0.25">
      <c r="A38" t="s">
        <v>108</v>
      </c>
      <c r="B38" s="2">
        <f t="shared" si="2"/>
        <v>32</v>
      </c>
      <c r="C38" s="2">
        <v>0</v>
      </c>
      <c r="D38" s="2">
        <v>0</v>
      </c>
      <c r="E38" s="2">
        <v>2</v>
      </c>
      <c r="F38" s="2">
        <v>0</v>
      </c>
      <c r="G38" s="2">
        <v>0</v>
      </c>
      <c r="H38" s="2">
        <v>0</v>
      </c>
      <c r="I38" s="2">
        <f t="shared" si="1"/>
        <v>32</v>
      </c>
      <c r="J38" s="2" t="s">
        <v>110</v>
      </c>
    </row>
    <row r="39" spans="1:10" x14ac:dyDescent="0.25">
      <c r="A39" t="s">
        <v>107</v>
      </c>
      <c r="B39" s="2">
        <f t="shared" si="2"/>
        <v>28</v>
      </c>
      <c r="C39" s="2">
        <v>0</v>
      </c>
      <c r="D39" s="2">
        <v>0</v>
      </c>
      <c r="E39" s="2">
        <v>0</v>
      </c>
      <c r="F39" s="2">
        <v>2</v>
      </c>
      <c r="G39" s="2">
        <v>0</v>
      </c>
      <c r="H39" s="2">
        <v>0</v>
      </c>
      <c r="I39" s="2">
        <f t="shared" si="1"/>
        <v>28</v>
      </c>
      <c r="J39" s="2" t="s">
        <v>110</v>
      </c>
    </row>
    <row r="40" spans="1:10" x14ac:dyDescent="0.25">
      <c r="A40" s="3" t="s">
        <v>161</v>
      </c>
      <c r="B40" s="2">
        <v>44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 t="s">
        <v>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zoomScale="70" zoomScaleNormal="70" workbookViewId="0">
      <selection activeCell="E11" sqref="E11"/>
    </sheetView>
  </sheetViews>
  <sheetFormatPr defaultRowHeight="14.4" x14ac:dyDescent="0.25"/>
  <cols>
    <col min="1" max="1" width="18.77734375" customWidth="1"/>
    <col min="2" max="2" width="35" customWidth="1"/>
    <col min="3" max="3" width="8.21875" style="3" customWidth="1"/>
    <col min="4" max="4" width="13.5546875" customWidth="1"/>
    <col min="5" max="5" width="16.77734375" customWidth="1"/>
    <col min="6" max="6" width="10.109375" customWidth="1"/>
    <col min="7" max="7" width="13.109375" customWidth="1"/>
    <col min="8" max="8" width="6.77734375" style="3" customWidth="1"/>
    <col min="9" max="9" width="15.5546875" customWidth="1"/>
    <col min="10" max="10" width="14.33203125" customWidth="1"/>
    <col min="11" max="11" width="16.6640625" customWidth="1"/>
    <col min="12" max="12" width="13.21875" customWidth="1"/>
    <col min="13" max="13" width="13.21875" style="3" customWidth="1"/>
    <col min="14" max="14" width="14.44140625" customWidth="1"/>
    <col min="15" max="15" width="15.88671875" customWidth="1"/>
    <col min="16" max="16" width="15.21875" customWidth="1"/>
  </cols>
  <sheetData>
    <row r="2" spans="1:15" x14ac:dyDescent="0.25">
      <c r="A2" s="88" t="s">
        <v>44</v>
      </c>
      <c r="B2" s="88" t="s">
        <v>45</v>
      </c>
      <c r="C2" s="8"/>
      <c r="E2" s="3"/>
      <c r="F2" s="3"/>
      <c r="G2" s="3"/>
      <c r="I2" s="3"/>
      <c r="J2" s="3"/>
      <c r="K2" s="3"/>
      <c r="L2" s="3"/>
      <c r="N2" s="3"/>
      <c r="O2" s="3"/>
    </row>
    <row r="3" spans="1:15" x14ac:dyDescent="0.25">
      <c r="A3" s="5" t="s">
        <v>46</v>
      </c>
      <c r="B3" s="5">
        <v>1.76E-4</v>
      </c>
      <c r="C3" s="9"/>
      <c r="E3" s="3"/>
      <c r="F3" s="3"/>
      <c r="G3" s="3"/>
      <c r="I3" s="3"/>
      <c r="J3" s="3"/>
      <c r="K3" s="3"/>
      <c r="L3" s="3"/>
      <c r="N3" s="3"/>
      <c r="O3" s="3"/>
    </row>
    <row r="4" spans="1:15" x14ac:dyDescent="0.25">
      <c r="A4" s="5" t="s">
        <v>47</v>
      </c>
      <c r="B4" s="5">
        <v>1.76E-4</v>
      </c>
      <c r="C4" s="9"/>
      <c r="D4" s="3"/>
      <c r="E4" s="3"/>
      <c r="F4" s="3"/>
      <c r="G4" s="3"/>
      <c r="I4" s="3"/>
      <c r="J4" s="3"/>
      <c r="K4" s="3"/>
      <c r="L4" s="3"/>
      <c r="N4" s="3"/>
      <c r="O4" s="3"/>
    </row>
    <row r="5" spans="1:15" x14ac:dyDescent="0.25">
      <c r="A5" s="5" t="s">
        <v>48</v>
      </c>
      <c r="B5" s="5">
        <v>0.13200000000000001</v>
      </c>
      <c r="C5" s="9"/>
      <c r="D5" s="3"/>
      <c r="E5" s="3"/>
      <c r="F5" s="3"/>
      <c r="G5" s="3"/>
      <c r="I5" s="3"/>
      <c r="J5" s="3"/>
      <c r="K5" s="3"/>
      <c r="L5" s="3"/>
      <c r="N5" s="3"/>
      <c r="O5" s="3"/>
    </row>
    <row r="6" spans="1:15" x14ac:dyDescent="0.25">
      <c r="A6" s="5" t="s">
        <v>49</v>
      </c>
      <c r="B6" s="5">
        <v>0.12</v>
      </c>
      <c r="C6" s="9"/>
      <c r="D6" s="3"/>
      <c r="E6" s="3"/>
      <c r="F6" s="3"/>
      <c r="G6" s="3"/>
      <c r="I6" s="3"/>
      <c r="J6" s="3"/>
      <c r="K6" s="3"/>
      <c r="L6" s="3"/>
      <c r="N6" s="3"/>
      <c r="O6" s="3"/>
    </row>
    <row r="7" spans="1:15" x14ac:dyDescent="0.25">
      <c r="A7" s="5" t="s">
        <v>50</v>
      </c>
      <c r="B7" s="5">
        <v>0.13200000000000001</v>
      </c>
      <c r="C7" s="9"/>
      <c r="D7" s="3"/>
      <c r="E7" s="3"/>
      <c r="F7" s="3"/>
      <c r="G7" s="3"/>
      <c r="I7" s="3"/>
      <c r="J7" s="3"/>
      <c r="K7" s="3"/>
      <c r="L7" s="3"/>
      <c r="N7" s="3"/>
      <c r="O7" s="3"/>
    </row>
    <row r="8" spans="1:15" x14ac:dyDescent="0.25">
      <c r="E8" s="3"/>
      <c r="F8" s="3"/>
      <c r="G8" s="3"/>
      <c r="I8" s="3"/>
      <c r="J8" s="3"/>
      <c r="K8" s="3"/>
      <c r="L8" s="3"/>
      <c r="N8" s="3"/>
      <c r="O8" s="3"/>
    </row>
    <row r="9" spans="1:15" x14ac:dyDescent="0.25">
      <c r="A9" s="91"/>
      <c r="B9" s="92" t="s">
        <v>101</v>
      </c>
      <c r="E9" s="3"/>
      <c r="F9" s="3"/>
      <c r="G9" s="3"/>
      <c r="I9" s="3"/>
      <c r="J9" s="3"/>
      <c r="K9" s="3"/>
      <c r="L9" s="3"/>
      <c r="N9" s="3"/>
      <c r="O9" s="3"/>
    </row>
    <row r="10" spans="1:15" x14ac:dyDescent="0.25">
      <c r="A10" s="5" t="s">
        <v>100</v>
      </c>
      <c r="B10" s="5">
        <v>6.02E-5</v>
      </c>
      <c r="E10" s="3"/>
      <c r="F10" s="3"/>
      <c r="G10" s="3"/>
      <c r="I10" s="3"/>
      <c r="J10" s="3"/>
      <c r="K10" s="3"/>
      <c r="L10" s="3"/>
      <c r="N10" s="3"/>
      <c r="O10" s="3"/>
    </row>
    <row r="11" spans="1:15" x14ac:dyDescent="0.25">
      <c r="E11" s="3"/>
      <c r="F11" s="3"/>
      <c r="G11" s="3"/>
      <c r="I11" s="3"/>
      <c r="J11" s="3"/>
      <c r="K11" s="3"/>
      <c r="L11" s="3"/>
      <c r="N11" s="3"/>
      <c r="O11" s="3"/>
    </row>
    <row r="12" spans="1:15" ht="18" x14ac:dyDescent="0.25">
      <c r="A12" s="89" t="s">
        <v>155</v>
      </c>
      <c r="B12" s="90"/>
    </row>
    <row r="13" spans="1:15" x14ac:dyDescent="0.25">
      <c r="A13" s="21" t="s">
        <v>126</v>
      </c>
      <c r="B13" s="22" t="s">
        <v>127</v>
      </c>
      <c r="D13" s="3"/>
    </row>
    <row r="14" spans="1:15" x14ac:dyDescent="0.25">
      <c r="A14" s="23" t="s">
        <v>128</v>
      </c>
      <c r="B14" s="24">
        <v>1.3</v>
      </c>
      <c r="D14" s="3"/>
    </row>
    <row r="15" spans="1:15" x14ac:dyDescent="0.25">
      <c r="A15" s="23" t="s">
        <v>8</v>
      </c>
      <c r="B15" s="24">
        <v>1.27</v>
      </c>
      <c r="D15" s="3"/>
    </row>
    <row r="16" spans="1:15" x14ac:dyDescent="0.25">
      <c r="A16" s="23" t="s">
        <v>131</v>
      </c>
      <c r="B16" s="24">
        <v>1.22</v>
      </c>
      <c r="D16" s="3"/>
    </row>
    <row r="17" spans="1:4" x14ac:dyDescent="0.25">
      <c r="A17" s="23" t="s">
        <v>133</v>
      </c>
      <c r="B17" s="24">
        <v>1.2</v>
      </c>
      <c r="D17" s="3"/>
    </row>
    <row r="18" spans="1:4" x14ac:dyDescent="0.25">
      <c r="A18" s="23" t="s">
        <v>135</v>
      </c>
      <c r="B18" s="24">
        <v>1.1399999999999999</v>
      </c>
      <c r="D18" s="3"/>
    </row>
    <row r="19" spans="1:4" x14ac:dyDescent="0.25">
      <c r="A19" s="23" t="s">
        <v>143</v>
      </c>
      <c r="B19" s="24">
        <v>1.1100000000000001</v>
      </c>
      <c r="D19" s="3"/>
    </row>
    <row r="20" spans="1:4" x14ac:dyDescent="0.25">
      <c r="A20" s="23" t="s">
        <v>138</v>
      </c>
      <c r="B20" s="24">
        <v>1.0900000000000001</v>
      </c>
      <c r="D20" s="3"/>
    </row>
    <row r="21" spans="1:4" x14ac:dyDescent="0.25">
      <c r="A21" s="23" t="s">
        <v>140</v>
      </c>
      <c r="B21" s="24">
        <v>1.08</v>
      </c>
      <c r="D21" s="3"/>
    </row>
    <row r="22" spans="1:4" x14ac:dyDescent="0.25">
      <c r="A22" s="23" t="s">
        <v>142</v>
      </c>
      <c r="B22" s="24">
        <v>1.1000000000000001</v>
      </c>
      <c r="D22" s="3"/>
    </row>
    <row r="23" spans="1:4" x14ac:dyDescent="0.25">
      <c r="A23" s="23" t="s">
        <v>129</v>
      </c>
      <c r="B23" s="24">
        <v>1.4</v>
      </c>
    </row>
    <row r="24" spans="1:4" x14ac:dyDescent="0.25">
      <c r="A24" s="23" t="s">
        <v>130</v>
      </c>
      <c r="B24" s="24">
        <v>1.4</v>
      </c>
    </row>
    <row r="25" spans="1:4" x14ac:dyDescent="0.25">
      <c r="A25" s="23" t="s">
        <v>132</v>
      </c>
      <c r="B25" s="24">
        <v>1.4</v>
      </c>
    </row>
    <row r="26" spans="1:4" x14ac:dyDescent="0.25">
      <c r="A26" s="23" t="s">
        <v>134</v>
      </c>
      <c r="B26" s="24">
        <v>1.4</v>
      </c>
    </row>
    <row r="27" spans="1:4" x14ac:dyDescent="0.25">
      <c r="A27" s="23" t="s">
        <v>136</v>
      </c>
      <c r="B27" s="24">
        <v>1.4</v>
      </c>
    </row>
    <row r="28" spans="1:4" x14ac:dyDescent="0.25">
      <c r="A28" s="23" t="s">
        <v>137</v>
      </c>
      <c r="B28" s="24">
        <v>1.28</v>
      </c>
    </row>
    <row r="29" spans="1:4" x14ac:dyDescent="0.25">
      <c r="A29" s="23" t="s">
        <v>139</v>
      </c>
      <c r="B29" s="24">
        <v>1.32</v>
      </c>
    </row>
    <row r="30" spans="1:4" x14ac:dyDescent="0.25">
      <c r="A30" s="23" t="s">
        <v>141</v>
      </c>
      <c r="B30" s="24">
        <v>1.26</v>
      </c>
    </row>
    <row r="32" spans="1:4" x14ac:dyDescent="0.25">
      <c r="A32" s="25" t="s">
        <v>144</v>
      </c>
      <c r="B32" s="26">
        <v>1.25</v>
      </c>
    </row>
    <row r="33" spans="1:2" x14ac:dyDescent="0.25">
      <c r="A33" s="25" t="s">
        <v>145</v>
      </c>
      <c r="B33" s="26">
        <v>1.2</v>
      </c>
    </row>
    <row r="34" spans="1:2" x14ac:dyDescent="0.25">
      <c r="A34" s="25" t="s">
        <v>146</v>
      </c>
      <c r="B34" s="26">
        <v>1.1499999999999999</v>
      </c>
    </row>
    <row r="35" spans="1:2" x14ac:dyDescent="0.25">
      <c r="A35" s="25" t="s">
        <v>147</v>
      </c>
      <c r="B35" s="26">
        <v>1.1499999999999999</v>
      </c>
    </row>
    <row r="36" spans="1:2" s="3" customFormat="1" x14ac:dyDescent="0.25">
      <c r="A36" s="25" t="s">
        <v>149</v>
      </c>
      <c r="B36" s="26">
        <v>1.1000000000000001</v>
      </c>
    </row>
    <row r="37" spans="1:2" x14ac:dyDescent="0.25">
      <c r="A37" s="25" t="s">
        <v>148</v>
      </c>
      <c r="B37" s="26">
        <v>1.1000000000000001</v>
      </c>
    </row>
    <row r="38" spans="1:2" x14ac:dyDescent="0.25">
      <c r="A38" s="25" t="s">
        <v>151</v>
      </c>
      <c r="B38" s="26">
        <v>1.35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物料衡算法数据表</vt:lpstr>
      <vt:lpstr>热值系数法数据表</vt:lpstr>
      <vt:lpstr>工程估算法数据表</vt:lpstr>
      <vt:lpstr>排放物料组成计算</vt:lpstr>
      <vt:lpstr>常用物质的分子量</vt:lpstr>
      <vt:lpstr>相关系数取值</vt:lpstr>
    </vt:vector>
  </TitlesOfParts>
  <Company>LPEC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jiaping</dc:creator>
  <cp:lastModifiedBy>jiaping</cp:lastModifiedBy>
  <dcterms:created xsi:type="dcterms:W3CDTF">2015-01-21T01:20:42Z</dcterms:created>
  <dcterms:modified xsi:type="dcterms:W3CDTF">2015-11-03T02:15:56Z</dcterms:modified>
</cp:coreProperties>
</file>